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7_0.bin" ContentType="application/vnd.openxmlformats-officedocument.oleObject"/>
  <Override PartName="/xl/embeddings/oleObject_7_1.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1_2.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2_2.bin" ContentType="application/vnd.openxmlformats-officedocument.oleObject"/>
  <Override PartName="/xl/embeddings/oleObject_12_3.bin" ContentType="application/vnd.openxmlformats-officedocument.oleObject"/>
  <Override PartName="/xl/embeddings/oleObject_12_4.bin" ContentType="application/vnd.openxmlformats-officedocument.oleObject"/>
  <Override PartName="/xl/embeddings/oleObject_12_5.bin" ContentType="application/vnd.openxmlformats-officedocument.oleObject"/>
  <Override PartName="/xl/embeddings/oleObject_12_6.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Override PartName="/xl/embeddings/oleObject_15_0.bin" ContentType="application/vnd.openxmlformats-officedocument.oleObject"/>
  <Override PartName="/xl/embeddings/oleObject_15_1.bin" ContentType="application/vnd.openxmlformats-officedocument.oleObject"/>
  <Override PartName="/xl/embeddings/oleObject_15_2.bin" ContentType="application/vnd.openxmlformats-officedocument.oleObject"/>
  <Override PartName="/xl/embeddings/oleObject_15_3.bin" ContentType="application/vnd.openxmlformats-officedocument.oleObject"/>
  <Override PartName="/xl/embeddings/oleObject_15_4.bin" ContentType="application/vnd.openxmlformats-officedocument.oleObject"/>
  <Override PartName="/xl/embeddings/oleObject_17_0.bin" ContentType="application/vnd.openxmlformats-officedocument.oleObject"/>
  <Override PartName="/xl/embeddings/oleObject_17_1.bin" ContentType="application/vnd.openxmlformats-officedocument.oleObject"/>
  <Override PartName="/xl/embeddings/oleObject_17_2.bin" ContentType="application/vnd.openxmlformats-officedocument.oleObject"/>
  <Override PartName="/xl/embeddings/oleObject_17_3.bin" ContentType="application/vnd.openxmlformats-officedocument.oleObject"/>
  <Override PartName="/xl/embeddings/oleObject_17_4.bin" ContentType="application/vnd.openxmlformats-officedocument.oleObject"/>
  <Override PartName="/xl/embeddings/oleObject_17_5.bin" ContentType="application/vnd.openxmlformats-officedocument.oleObject"/>
  <Override PartName="/xl/embeddings/oleObject_17_6.bin" ContentType="application/vnd.openxmlformats-officedocument.oleObject"/>
  <Override PartName="/xl/embeddings/oleObject_17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9720" tabRatio="904" activeTab="0"/>
  </bookViews>
  <sheets>
    <sheet name="Autori" sheetId="1" r:id="rId1"/>
    <sheet name="Scatolone adiabatico" sheetId="2" r:id="rId2"/>
    <sheet name="Parete (flusso termico)" sheetId="3" r:id="rId3"/>
    <sheet name="Caldaia" sheetId="4" r:id="rId4"/>
    <sheet name="Fluidi (peso e volume)" sheetId="5" r:id="rId5"/>
    <sheet name="Miscela in tubo Y" sheetId="6" r:id="rId6"/>
    <sheet name="Subacqueo-Ancora" sheetId="7" r:id="rId7"/>
    <sheet name="Macchina frigorifera" sheetId="8" r:id="rId8"/>
    <sheet name="Sauna" sheetId="9" r:id="rId9"/>
    <sheet name="Exergia" sheetId="10" r:id="rId10"/>
    <sheet name="Pila" sheetId="11" r:id="rId11"/>
    <sheet name="Sollevamento massa" sheetId="12" r:id="rId12"/>
    <sheet name="Agitatore" sheetId="13" r:id="rId13"/>
    <sheet name="Riscaldamento locale" sheetId="14" r:id="rId14"/>
    <sheet name="Raffreddamento locale" sheetId="15" r:id="rId15"/>
    <sheet name="Condizionatore" sheetId="16" r:id="rId16"/>
    <sheet name="Pentola a pressione" sheetId="17" r:id="rId17"/>
    <sheet name="Pompa bicicletta" sheetId="18" r:id="rId18"/>
    <sheet name="Tabelle termodinamiche" sheetId="19" r:id="rId19"/>
  </sheets>
  <externalReferences>
    <externalReference r:id="rId22"/>
    <externalReference r:id="rId23"/>
    <externalReference r:id="rId24"/>
  </externalReferences>
  <definedNames>
    <definedName name="arc">'Fluidi (peso e volume)'!$C$18</definedName>
    <definedName name="densità" localSheetId="0">#REF!</definedName>
    <definedName name="densità" localSheetId="6">#REF!</definedName>
    <definedName name="densità">#REF!</definedName>
    <definedName name="diametro" localSheetId="0">#REF!</definedName>
    <definedName name="diametro" localSheetId="6">#REF!</definedName>
    <definedName name="diametro">#REF!</definedName>
    <definedName name="Lunghezza" localSheetId="0">#REF!</definedName>
    <definedName name="Lunghezza" localSheetId="6">#REF!</definedName>
    <definedName name="Lunghezza">#REF!</definedName>
    <definedName name="OLE_LINK1_8">'[2]Fluidodinamica 2'!#REF!</definedName>
    <definedName name="pressione" localSheetId="0">#REF!</definedName>
    <definedName name="pressione" localSheetId="6">#REF!</definedName>
    <definedName name="pressione">#REF!</definedName>
    <definedName name="Re" localSheetId="0">#REF!</definedName>
    <definedName name="Re" localSheetId="6">#REF!</definedName>
    <definedName name="Re">#REF!</definedName>
    <definedName name="reinolds" localSheetId="0">#REF!</definedName>
    <definedName name="reinolds" localSheetId="6">#REF!</definedName>
    <definedName name="reinolds">#REF!</definedName>
    <definedName name="Ren" localSheetId="0">#REF!</definedName>
    <definedName name="Ren" localSheetId="6">#REF!</definedName>
    <definedName name="Ren">#REF!</definedName>
    <definedName name="velocità" localSheetId="0">#REF!</definedName>
    <definedName name="velocità" localSheetId="6">#REF!</definedName>
    <definedName name="velocità">#REF!</definedName>
  </definedNames>
  <calcPr fullCalcOnLoad="1"/>
</workbook>
</file>

<file path=xl/comments10.xml><?xml version="1.0" encoding="utf-8"?>
<comments xmlns="http://schemas.openxmlformats.org/spreadsheetml/2006/main">
  <authors>
    <author>Matteo</author>
  </authors>
  <commentList>
    <comment ref="C3" authorId="0">
      <text>
        <r>
          <rPr>
            <b/>
            <sz val="8"/>
            <rFont val="Tahoma"/>
            <family val="0"/>
          </rPr>
          <t>jerlo:</t>
        </r>
        <r>
          <rPr>
            <sz val="8"/>
            <rFont val="Tahoma"/>
            <family val="0"/>
          </rPr>
          <t xml:space="preserve">
Estrazione del lavoro (L) massimo da una tanica di volume (M) alla temperatura (T1)</t>
        </r>
      </text>
    </comment>
    <comment ref="B21" authorId="0">
      <text>
        <r>
          <rPr>
            <b/>
            <sz val="8"/>
            <rFont val="Tahoma"/>
            <family val="0"/>
          </rPr>
          <t>Matteo:</t>
        </r>
        <r>
          <rPr>
            <sz val="8"/>
            <rFont val="Tahoma"/>
            <family val="0"/>
          </rPr>
          <t xml:space="preserve">
E' la quota di energia dissipata</t>
        </r>
      </text>
    </comment>
  </commentList>
</comments>
</file>

<file path=xl/comments11.xml><?xml version="1.0" encoding="utf-8"?>
<comments xmlns="http://schemas.openxmlformats.org/spreadsheetml/2006/main">
  <authors>
    <author>jerlo</author>
  </authors>
  <commentList>
    <comment ref="B9" authorId="0">
      <text>
        <r>
          <rPr>
            <b/>
            <sz val="8"/>
            <rFont val="Tahoma"/>
            <family val="0"/>
          </rPr>
          <t>jerlo:</t>
        </r>
        <r>
          <rPr>
            <sz val="8"/>
            <rFont val="Tahoma"/>
            <family val="0"/>
          </rPr>
          <t xml:space="preserve">
Ricavo l'intensità secondo la legge di Ohm</t>
        </r>
      </text>
    </comment>
    <comment ref="B11" authorId="0">
      <text>
        <r>
          <rPr>
            <b/>
            <sz val="8"/>
            <rFont val="Tahoma"/>
            <family val="0"/>
          </rPr>
          <t>jerlo:</t>
        </r>
        <r>
          <rPr>
            <sz val="8"/>
            <rFont val="Tahoma"/>
            <family val="0"/>
          </rPr>
          <t xml:space="preserve">
Secondo la legge di Joule ricavo la potenza dissipata dalla resistenza in un sec.</t>
        </r>
      </text>
    </comment>
    <comment ref="B13" authorId="0">
      <text>
        <r>
          <rPr>
            <b/>
            <sz val="8"/>
            <rFont val="Tahoma"/>
            <family val="0"/>
          </rPr>
          <t>jerlo:</t>
        </r>
        <r>
          <rPr>
            <sz val="8"/>
            <rFont val="Tahoma"/>
            <family val="0"/>
          </rPr>
          <t xml:space="preserve">
Dividendo l'energia totale E della pila per la potenza P assorbita in un sec.
determino ladurata in sec. della pila</t>
        </r>
      </text>
    </comment>
  </commentList>
</comments>
</file>

<file path=xl/comments12.xml><?xml version="1.0" encoding="utf-8"?>
<comments xmlns="http://schemas.openxmlformats.org/spreadsheetml/2006/main">
  <authors>
    <author>jerlo</author>
    <author>Mirya</author>
    <author>Matteo</author>
  </authors>
  <commentList>
    <comment ref="B12" authorId="0">
      <text>
        <r>
          <rPr>
            <b/>
            <sz val="8"/>
            <rFont val="Tahoma"/>
            <family val="0"/>
          </rPr>
          <t>jerlo:</t>
        </r>
        <r>
          <rPr>
            <sz val="8"/>
            <rFont val="Tahoma"/>
            <family val="0"/>
          </rPr>
          <t xml:space="preserve">
Energia necessaria per lo spostamento</t>
        </r>
      </text>
    </comment>
    <comment ref="B33" authorId="1">
      <text>
        <r>
          <rPr>
            <b/>
            <sz val="8"/>
            <rFont val="Tahoma"/>
            <family val="2"/>
          </rPr>
          <t>Mirya:</t>
        </r>
        <r>
          <rPr>
            <sz val="8"/>
            <rFont val="Tahoma"/>
            <family val="2"/>
          </rPr>
          <t xml:space="preserve">
Alternativa alla formula precedente</t>
        </r>
      </text>
    </comment>
    <comment ref="B44" authorId="2">
      <text>
        <r>
          <rPr>
            <b/>
            <sz val="8"/>
            <rFont val="Tahoma"/>
            <family val="0"/>
          </rPr>
          <t>Matteo:</t>
        </r>
        <r>
          <rPr>
            <sz val="8"/>
            <rFont val="Tahoma"/>
            <family val="0"/>
          </rPr>
          <t xml:space="preserve">
1=AZOTO
2=IDROGENO
3=CO
4=OSSIGENO
5=ARIA
6=CO2
7=VAPOR ACQUEO
8=ARGON
9=BUTANO
10=ETANO
11=ETILENE
12=ELIO
13=METANO
14=NEON
15=PROPANO</t>
        </r>
      </text>
    </comment>
  </commentList>
</comments>
</file>

<file path=xl/comments13.xml><?xml version="1.0" encoding="utf-8"?>
<comments xmlns="http://schemas.openxmlformats.org/spreadsheetml/2006/main">
  <authors>
    <author>jerlo</author>
  </authors>
  <commentList>
    <comment ref="B8" authorId="0">
      <text>
        <r>
          <rPr>
            <b/>
            <sz val="8"/>
            <rFont val="Tahoma"/>
            <family val="0"/>
          </rPr>
          <t>jerlo:</t>
        </r>
        <r>
          <rPr>
            <sz val="8"/>
            <rFont val="Tahoma"/>
            <family val="0"/>
          </rPr>
          <t xml:space="preserve">
Vedere </t>
        </r>
        <r>
          <rPr>
            <b/>
            <sz val="8"/>
            <rFont val="Tahoma"/>
            <family val="2"/>
          </rPr>
          <t>Tabella capacità termica</t>
        </r>
      </text>
    </comment>
    <comment ref="B11" authorId="0">
      <text>
        <r>
          <rPr>
            <b/>
            <sz val="8"/>
            <rFont val="Tahoma"/>
            <family val="0"/>
          </rPr>
          <t>jerlo:</t>
        </r>
        <r>
          <rPr>
            <sz val="8"/>
            <rFont val="Tahoma"/>
            <family val="0"/>
          </rPr>
          <t xml:space="preserve">
Il lavoro ha valore negativo perché entrante nel sistema</t>
        </r>
      </text>
    </comment>
    <comment ref="B26" authorId="0">
      <text>
        <r>
          <rPr>
            <b/>
            <sz val="8"/>
            <rFont val="Tahoma"/>
            <family val="0"/>
          </rPr>
          <t>jerlo:</t>
        </r>
        <r>
          <rPr>
            <sz val="8"/>
            <rFont val="Tahoma"/>
            <family val="0"/>
          </rPr>
          <t xml:space="preserve">
Distanza che deve percorrere il peso P per uguagliare l'energia prodotta dalla resistenza R</t>
        </r>
      </text>
    </comment>
    <comment ref="B34" authorId="0">
      <text>
        <r>
          <rPr>
            <b/>
            <sz val="8"/>
            <rFont val="Tahoma"/>
            <family val="0"/>
          </rPr>
          <t>jerlo:</t>
        </r>
        <r>
          <rPr>
            <sz val="8"/>
            <rFont val="Tahoma"/>
            <family val="0"/>
          </rPr>
          <t xml:space="preserve">
Calore dissipato dalla resistenza</t>
        </r>
      </text>
    </comment>
    <comment ref="B32" authorId="0">
      <text>
        <r>
          <rPr>
            <b/>
            <sz val="8"/>
            <rFont val="Tahoma"/>
            <family val="0"/>
          </rPr>
          <t>jerlo:</t>
        </r>
        <r>
          <rPr>
            <sz val="8"/>
            <rFont val="Tahoma"/>
            <family val="0"/>
          </rPr>
          <t xml:space="preserve">
Legge di joule
P=R*i2</t>
        </r>
      </text>
    </comment>
  </commentList>
</comments>
</file>

<file path=xl/comments14.xml><?xml version="1.0" encoding="utf-8"?>
<comments xmlns="http://schemas.openxmlformats.org/spreadsheetml/2006/main">
  <authors>
    <author>Matteo</author>
  </authors>
  <commentList>
    <comment ref="B12" authorId="0">
      <text>
        <r>
          <rPr>
            <b/>
            <sz val="8"/>
            <rFont val="Tahoma"/>
            <family val="0"/>
          </rPr>
          <t>Matteo:</t>
        </r>
        <r>
          <rPr>
            <sz val="8"/>
            <rFont val="Tahoma"/>
            <family val="0"/>
          </rPr>
          <t xml:space="preserve">
1=AZOTO
2=IDROGENO
3=CO
4=OSSIGENO
5=ARIA
6=CO2
7=VAPOR ACQUEO
8=ARGON
9=BUTANO
10=ETANO
11=ETILENE
12=ELIO
13=METANO
14=NEON
15=PROPANO</t>
        </r>
      </text>
    </comment>
  </commentList>
</comments>
</file>

<file path=xl/comments16.xml><?xml version="1.0" encoding="utf-8"?>
<comments xmlns="http://schemas.openxmlformats.org/spreadsheetml/2006/main">
  <authors>
    <author>*</author>
    <author>Matteo</author>
  </authors>
  <commentList>
    <comment ref="C44" authorId="0">
      <text>
        <r>
          <rPr>
            <sz val="10"/>
            <rFont val="Tahoma"/>
            <family val="0"/>
          </rPr>
          <t xml:space="preserve">Va visto nel grafico 
psicrometrico
</t>
        </r>
      </text>
    </comment>
    <comment ref="B38" authorId="1">
      <text>
        <r>
          <rPr>
            <b/>
            <sz val="8"/>
            <rFont val="Tahoma"/>
            <family val="0"/>
          </rPr>
          <t>Matteo:</t>
        </r>
        <r>
          <rPr>
            <sz val="8"/>
            <rFont val="Tahoma"/>
            <family val="0"/>
          </rPr>
          <t xml:space="preserve">
Questa temperatura, non è uguale a T2 poiché la batteria di lamierini, essendo bagnata (l’acqua vi condensa contro), sicuramente si troverà ad una temperatura leggermente inferiore a quella dell’aria da cui è attraversata.</t>
        </r>
      </text>
    </comment>
    <comment ref="B37" authorId="1">
      <text>
        <r>
          <rPr>
            <b/>
            <sz val="8"/>
            <rFont val="Tahoma"/>
            <family val="0"/>
          </rPr>
          <t xml:space="preserve">Matteo:
</t>
        </r>
        <r>
          <rPr>
            <sz val="8"/>
            <rFont val="Tahoma"/>
            <family val="2"/>
          </rPr>
          <t xml:space="preserve">Entrare nel diagramma psicrometrico con il titolo X2 e proseguire fino alla curva con φ = 1, dopodichè scendere verticalmente e riportare nella cella il valore della temperatura.
</t>
        </r>
      </text>
    </comment>
  </commentList>
</comments>
</file>

<file path=xl/comments18.xml><?xml version="1.0" encoding="utf-8"?>
<comments xmlns="http://schemas.openxmlformats.org/spreadsheetml/2006/main">
  <authors>
    <author>Matteo</author>
  </authors>
  <commentList>
    <comment ref="F27" authorId="0">
      <text>
        <r>
          <rPr>
            <b/>
            <sz val="8"/>
            <rFont val="Tahoma"/>
            <family val="0"/>
          </rPr>
          <t xml:space="preserve">Matteo:
</t>
        </r>
        <r>
          <rPr>
            <sz val="8"/>
            <rFont val="Tahoma"/>
            <family val="2"/>
          </rPr>
          <t>Il risulato viene negativo perché è fatto sul sitema (lo stantuffo viene fatto muovere da una forza esterna…)</t>
        </r>
      </text>
    </comment>
    <comment ref="F25" authorId="0">
      <text>
        <r>
          <rPr>
            <b/>
            <sz val="8"/>
            <rFont val="Tahoma"/>
            <family val="0"/>
          </rPr>
          <t>Matteo:</t>
        </r>
        <r>
          <rPr>
            <sz val="8"/>
            <rFont val="Tahoma"/>
            <family val="0"/>
          </rPr>
          <t xml:space="preserve">
Il valore (-1) in formula serve per portare il segno del lavoro al negativo inquanto è in ingresso nel sistema </t>
        </r>
      </text>
    </comment>
    <comment ref="A26" authorId="0">
      <text>
        <r>
          <rPr>
            <b/>
            <sz val="8"/>
            <rFont val="Tahoma"/>
            <family val="0"/>
          </rPr>
          <t>Matteo:</t>
        </r>
        <r>
          <rPr>
            <sz val="8"/>
            <rFont val="Tahoma"/>
            <family val="0"/>
          </rPr>
          <t xml:space="preserve">
Il valore (-1) in formula serve per portare il segno del lavoro al negativo inquanto è in ingresso nel sistema </t>
        </r>
      </text>
    </comment>
    <comment ref="A28" authorId="0">
      <text>
        <r>
          <rPr>
            <b/>
            <sz val="8"/>
            <rFont val="Tahoma"/>
            <family val="0"/>
          </rPr>
          <t xml:space="preserve">Matteo:
</t>
        </r>
        <r>
          <rPr>
            <sz val="8"/>
            <rFont val="Tahoma"/>
            <family val="2"/>
          </rPr>
          <t>Il risulato viene negativo perché è fatto sul sitema (lo stantuffo viene fatto muovere da una forza esterna…)</t>
        </r>
      </text>
    </comment>
    <comment ref="A2" authorId="0">
      <text>
        <r>
          <rPr>
            <b/>
            <sz val="8"/>
            <rFont val="Tahoma"/>
            <family val="0"/>
          </rPr>
          <t>Matteo:</t>
        </r>
        <r>
          <rPr>
            <sz val="8"/>
            <rFont val="Tahoma"/>
            <family val="0"/>
          </rPr>
          <t xml:space="preserve">
1=AZOTO
2=IDROGENO
3=CO
4=OSSIGENO
5=ARIA
6=CO2
7=VAPOR ACQUEO
8=ARGON
9=BUTANO
10=ETANO
11=ETILENE
12=ELIO
13=METANO
14=NEON
15=PROPANO</t>
        </r>
      </text>
    </comment>
  </commentList>
</comments>
</file>

<file path=xl/comments2.xml><?xml version="1.0" encoding="utf-8"?>
<comments xmlns="http://schemas.openxmlformats.org/spreadsheetml/2006/main">
  <authors>
    <author>Matteo</author>
  </authors>
  <commentList>
    <comment ref="B4" authorId="0">
      <text>
        <r>
          <rPr>
            <b/>
            <sz val="8"/>
            <rFont val="Tahoma"/>
            <family val="0"/>
          </rPr>
          <t>Matteo:</t>
        </r>
        <r>
          <rPr>
            <sz val="8"/>
            <rFont val="Tahoma"/>
            <family val="0"/>
          </rPr>
          <t xml:space="preserve">
1=AZOTO
2=IDROGENO
3=CO
4=OSSIGENO
5=ARIA
6=CO2
7=VAPOR ACQUEO
8=ARGON
9=BUTANO
10=ETANO
11=ETILENE
12=ELIO
13=METANO
14=NEON
15=PROPANO</t>
        </r>
      </text>
    </comment>
    <comment ref="B41" authorId="0">
      <text>
        <r>
          <rPr>
            <b/>
            <sz val="8"/>
            <rFont val="Tahoma"/>
            <family val="0"/>
          </rPr>
          <t>Matteo:</t>
        </r>
        <r>
          <rPr>
            <sz val="8"/>
            <rFont val="Tahoma"/>
            <family val="0"/>
          </rPr>
          <t xml:space="preserve">
Da considerare solo se i 2 fluidi sono uguali</t>
        </r>
      </text>
    </comment>
    <comment ref="B42" authorId="0">
      <text>
        <r>
          <rPr>
            <b/>
            <sz val="8"/>
            <rFont val="Tahoma"/>
            <family val="0"/>
          </rPr>
          <t>Matteo:</t>
        </r>
        <r>
          <rPr>
            <sz val="8"/>
            <rFont val="Tahoma"/>
            <family val="0"/>
          </rPr>
          <t xml:space="preserve">
Da considerare solo se i 2 fluidi sono uguali</t>
        </r>
      </text>
    </comment>
    <comment ref="B5" authorId="0">
      <text>
        <r>
          <rPr>
            <b/>
            <sz val="8"/>
            <rFont val="Tahoma"/>
            <family val="0"/>
          </rPr>
          <t>Matteo:</t>
        </r>
        <r>
          <rPr>
            <sz val="8"/>
            <rFont val="Tahoma"/>
            <family val="0"/>
          </rPr>
          <t xml:space="preserve">
1=AZOTO
2=IDROGENO
3=CO
4=OSSIGENO
5=ARIA
6=CO2
7=VAPOR ACQUEO
8=ARGON
9=BUTANO
10=ETANO
11=ETILENE
12=ELIO
13=METANO
14=NEON
15=PROPANO</t>
        </r>
      </text>
    </comment>
  </commentList>
</comments>
</file>

<file path=xl/comments4.xml><?xml version="1.0" encoding="utf-8"?>
<comments xmlns="http://schemas.openxmlformats.org/spreadsheetml/2006/main">
  <authors>
    <author>standard</author>
  </authors>
  <commentList>
    <comment ref="C15" authorId="0">
      <text>
        <r>
          <rPr>
            <b/>
            <sz val="8"/>
            <rFont val="Tahoma"/>
            <family val="0"/>
          </rPr>
          <t>Matteo:</t>
        </r>
        <r>
          <rPr>
            <sz val="8"/>
            <rFont val="Tahoma"/>
            <family val="0"/>
          </rPr>
          <t xml:space="preserve">
Calore latente di vaporizzazione</t>
        </r>
      </text>
    </comment>
  </commentList>
</comments>
</file>

<file path=xl/comments5.xml><?xml version="1.0" encoding="utf-8"?>
<comments xmlns="http://schemas.openxmlformats.org/spreadsheetml/2006/main">
  <authors>
    <author>Matteo</author>
  </authors>
  <commentList>
    <comment ref="B6" authorId="0">
      <text>
        <r>
          <rPr>
            <b/>
            <sz val="8"/>
            <rFont val="Tahoma"/>
            <family val="0"/>
          </rPr>
          <t>Matteo:</t>
        </r>
        <r>
          <rPr>
            <sz val="8"/>
            <rFont val="Tahoma"/>
            <family val="0"/>
          </rPr>
          <t xml:space="preserve">
1=AZOTO
2=IDROGENO
3=CO
4=OSSIGENO
5=ARIA
6=CO2
7=VAPOR ACQUEO
8=ARGON
9=BUTANO
10=ETANO
11=ETILENE
12=ELIO
13=METANO
14=NEON
15=PROPANO</t>
        </r>
      </text>
    </comment>
    <comment ref="H9" authorId="0">
      <text>
        <r>
          <rPr>
            <b/>
            <sz val="8"/>
            <rFont val="Tahoma"/>
            <family val="0"/>
          </rPr>
          <t>Matteo:</t>
        </r>
        <r>
          <rPr>
            <sz val="8"/>
            <rFont val="Tahoma"/>
            <family val="0"/>
          </rPr>
          <t xml:space="preserve">
1=AZOTO
2=IDROGENO
3=CO
4=OSSIGENO
5=ARIA
6=CO2
7=VAPOR ACQUEO
8=ARGON
9=BUTANO
10=ETANO
11=ETILENE
12=ELIO
13=METANO
14=NEON
15=PROPANO</t>
        </r>
      </text>
    </comment>
  </commentList>
</comments>
</file>

<file path=xl/comments6.xml><?xml version="1.0" encoding="utf-8"?>
<comments xmlns="http://schemas.openxmlformats.org/spreadsheetml/2006/main">
  <authors>
    <author>jerlo</author>
  </authors>
  <commentList>
    <comment ref="B29" authorId="0">
      <text>
        <r>
          <rPr>
            <b/>
            <sz val="8"/>
            <rFont val="Tahoma"/>
            <family val="0"/>
          </rPr>
          <t>jerlo:</t>
        </r>
        <r>
          <rPr>
            <sz val="8"/>
            <rFont val="Tahoma"/>
            <family val="0"/>
          </rPr>
          <t xml:space="preserve">
valore compreso tra 0 e 1</t>
        </r>
      </text>
    </comment>
    <comment ref="B28" authorId="0">
      <text>
        <r>
          <rPr>
            <b/>
            <sz val="8"/>
            <rFont val="Tahoma"/>
            <family val="0"/>
          </rPr>
          <t>jerlo:</t>
        </r>
        <r>
          <rPr>
            <sz val="8"/>
            <rFont val="Tahoma"/>
            <family val="0"/>
          </rPr>
          <t xml:space="preserve">
valore compreso tra 0 e 1</t>
        </r>
      </text>
    </comment>
    <comment ref="B30" authorId="0">
      <text>
        <r>
          <rPr>
            <b/>
            <sz val="8"/>
            <rFont val="Tahoma"/>
            <family val="0"/>
          </rPr>
          <t>jerlo:</t>
        </r>
        <r>
          <rPr>
            <sz val="8"/>
            <rFont val="Tahoma"/>
            <family val="0"/>
          </rPr>
          <t xml:space="preserve">
valore compreso tra 0 e 1</t>
        </r>
      </text>
    </comment>
    <comment ref="B21" authorId="0">
      <text>
        <r>
          <rPr>
            <b/>
            <sz val="8"/>
            <rFont val="Tahoma"/>
            <family val="0"/>
          </rPr>
          <t>jerlo:</t>
        </r>
        <r>
          <rPr>
            <sz val="8"/>
            <rFont val="Tahoma"/>
            <family val="0"/>
          </rPr>
          <t xml:space="preserve">
E' una costante data dalla pressione del aria + la pressione del vapore
si prende 1 come la pressione atmosferica</t>
        </r>
      </text>
    </comment>
    <comment ref="B13" authorId="0">
      <text>
        <r>
          <rPr>
            <b/>
            <sz val="8"/>
            <rFont val="Tahoma"/>
            <family val="0"/>
          </rPr>
          <t>jerlo:</t>
        </r>
        <r>
          <rPr>
            <sz val="8"/>
            <rFont val="Tahoma"/>
            <family val="0"/>
          </rPr>
          <t xml:space="preserve">
Il tiolo e il quantitativo di vapore all'interno della massa d'aria</t>
        </r>
      </text>
    </comment>
    <comment ref="D13" authorId="0">
      <text>
        <r>
          <rPr>
            <b/>
            <sz val="8"/>
            <rFont val="Tahoma"/>
            <family val="0"/>
          </rPr>
          <t>jerlo:</t>
        </r>
        <r>
          <rPr>
            <sz val="8"/>
            <rFont val="Tahoma"/>
            <family val="0"/>
          </rPr>
          <t xml:space="preserve">
kg vapore su kg Aria</t>
        </r>
      </text>
    </comment>
    <comment ref="D23" authorId="0">
      <text>
        <r>
          <rPr>
            <b/>
            <sz val="8"/>
            <rFont val="Tahoma"/>
            <family val="0"/>
          </rPr>
          <t>jerlo:</t>
        </r>
        <r>
          <rPr>
            <sz val="8"/>
            <rFont val="Tahoma"/>
            <family val="0"/>
          </rPr>
          <t xml:space="preserve">
kJoule su kg Aria</t>
        </r>
      </text>
    </comment>
    <comment ref="D14" authorId="0">
      <text>
        <r>
          <rPr>
            <b/>
            <sz val="8"/>
            <rFont val="Tahoma"/>
            <family val="0"/>
          </rPr>
          <t>jerlo:</t>
        </r>
        <r>
          <rPr>
            <sz val="8"/>
            <rFont val="Tahoma"/>
            <family val="0"/>
          </rPr>
          <t xml:space="preserve">
kg vapore su kg Aria</t>
        </r>
      </text>
    </comment>
    <comment ref="D15" authorId="0">
      <text>
        <r>
          <rPr>
            <b/>
            <sz val="8"/>
            <rFont val="Tahoma"/>
            <family val="0"/>
          </rPr>
          <t>jerlo:</t>
        </r>
        <r>
          <rPr>
            <sz val="8"/>
            <rFont val="Tahoma"/>
            <family val="0"/>
          </rPr>
          <t xml:space="preserve">
kg vapore su kg Aria</t>
        </r>
      </text>
    </comment>
    <comment ref="D24" authorId="0">
      <text>
        <r>
          <rPr>
            <b/>
            <sz val="8"/>
            <rFont val="Tahoma"/>
            <family val="0"/>
          </rPr>
          <t>jerlo:</t>
        </r>
        <r>
          <rPr>
            <sz val="8"/>
            <rFont val="Tahoma"/>
            <family val="0"/>
          </rPr>
          <t xml:space="preserve">
kJoule su kg Aria</t>
        </r>
      </text>
    </comment>
    <comment ref="D25" authorId="0">
      <text>
        <r>
          <rPr>
            <b/>
            <sz val="8"/>
            <rFont val="Tahoma"/>
            <family val="0"/>
          </rPr>
          <t>jerlo:</t>
        </r>
        <r>
          <rPr>
            <sz val="8"/>
            <rFont val="Tahoma"/>
            <family val="0"/>
          </rPr>
          <t xml:space="preserve">
kJoule su kg Aria</t>
        </r>
      </text>
    </comment>
  </commentList>
</comments>
</file>

<file path=xl/comments8.xml><?xml version="1.0" encoding="utf-8"?>
<comments xmlns="http://schemas.openxmlformats.org/spreadsheetml/2006/main">
  <authors>
    <author>glp</author>
    <author>Matteo</author>
  </authors>
  <commentList>
    <comment ref="B12" authorId="0">
      <text>
        <r>
          <rPr>
            <b/>
            <sz val="8"/>
            <color indexed="8"/>
            <rFont val="Tahoma"/>
            <family val="2"/>
          </rPr>
          <t xml:space="preserve">jerlo:
</t>
        </r>
        <r>
          <rPr>
            <sz val="8"/>
            <color indexed="8"/>
            <rFont val="Tahoma"/>
            <family val="2"/>
          </rPr>
          <t>Il Cop e dato da:
resa termica / la potenza assorbita</t>
        </r>
      </text>
    </comment>
    <comment ref="B7" authorId="1">
      <text>
        <r>
          <rPr>
            <b/>
            <sz val="8"/>
            <rFont val="Tahoma"/>
            <family val="0"/>
          </rPr>
          <t>Matteo:</t>
        </r>
        <r>
          <rPr>
            <sz val="8"/>
            <rFont val="Tahoma"/>
            <family val="0"/>
          </rPr>
          <t xml:space="preserve">
1=AZOTO
2=IDROGENO
3=CO
4=OSSIGENO
5=ARIA
6=CO2
7=VAPOR ACQUEO
8=ARGON
9=BUTANO
10=ETANO
11=ETILENE
12=ELIO
13=METANO
14=NEON
15=PROPANO</t>
        </r>
      </text>
    </comment>
  </commentList>
</comments>
</file>

<file path=xl/sharedStrings.xml><?xml version="1.0" encoding="utf-8"?>
<sst xmlns="http://schemas.openxmlformats.org/spreadsheetml/2006/main" count="898" uniqueCount="526">
  <si>
    <t>K</t>
  </si>
  <si>
    <t>Pressione atmosferica</t>
  </si>
  <si>
    <t>kg</t>
  </si>
  <si>
    <t>Temperatura</t>
  </si>
  <si>
    <t>Cv</t>
  </si>
  <si>
    <t>m/s</t>
  </si>
  <si>
    <t>Pa</t>
  </si>
  <si>
    <t>bar</t>
  </si>
  <si>
    <t>Volume A</t>
  </si>
  <si>
    <t>Volume B</t>
  </si>
  <si>
    <t>Massa A</t>
  </si>
  <si>
    <t>Massa B</t>
  </si>
  <si>
    <t>Temperatura B</t>
  </si>
  <si>
    <t>Temperatura Mix</t>
  </si>
  <si>
    <t>Volume Totale</t>
  </si>
  <si>
    <t>Massa Totale</t>
  </si>
  <si>
    <t>Pressione Mix</t>
  </si>
  <si>
    <t>Pressione contenitore A</t>
  </si>
  <si>
    <t>Pressione contenitore B</t>
  </si>
  <si>
    <t>J/kgK</t>
  </si>
  <si>
    <t xml:space="preserve">Mix Gas diversi con temperature e volume differenti </t>
  </si>
  <si>
    <t xml:space="preserve">Temperatura A </t>
  </si>
  <si>
    <t>kg/h</t>
  </si>
  <si>
    <t>Massa 1 (M1)</t>
  </si>
  <si>
    <t>Massa 2 (M2)</t>
  </si>
  <si>
    <t>Temperatura 1 di M1</t>
  </si>
  <si>
    <t>Temperatura 1 di M2</t>
  </si>
  <si>
    <t>Temperatura 1 di Mix</t>
  </si>
  <si>
    <t>Massa 2 (Mix)</t>
  </si>
  <si>
    <t>Titolo X1</t>
  </si>
  <si>
    <t>Titolo X2</t>
  </si>
  <si>
    <t>Titolo Xmix</t>
  </si>
  <si>
    <t>Ps1</t>
  </si>
  <si>
    <t>Ps2</t>
  </si>
  <si>
    <t>Ps3</t>
  </si>
  <si>
    <t>Ptot</t>
  </si>
  <si>
    <t>Miscela masse Aria tubo a Y</t>
  </si>
  <si>
    <t>J1</t>
  </si>
  <si>
    <t>J2</t>
  </si>
  <si>
    <t>J3</t>
  </si>
  <si>
    <t>kgv/kga</t>
  </si>
  <si>
    <t>kJ/kga</t>
  </si>
  <si>
    <t>ACQUA</t>
  </si>
  <si>
    <t>AZOTO</t>
  </si>
  <si>
    <t>IDROGENO</t>
  </si>
  <si>
    <t>CO</t>
  </si>
  <si>
    <t>OSSIGENO</t>
  </si>
  <si>
    <t>ARIA</t>
  </si>
  <si>
    <t>CO2</t>
  </si>
  <si>
    <t>Tipo di fluido</t>
  </si>
  <si>
    <t>Tipo di fluido A</t>
  </si>
  <si>
    <t>Tipo di fluido B</t>
  </si>
  <si>
    <t>Pressione di saturazione</t>
  </si>
  <si>
    <t>Costante del fluido A (R1)</t>
  </si>
  <si>
    <t>Costante del fluido B (R1)</t>
  </si>
  <si>
    <t>Costante del fluido Mix (R1)</t>
  </si>
  <si>
    <t>Volume specifico Mix</t>
  </si>
  <si>
    <t>Fluido A (Cv)</t>
  </si>
  <si>
    <t>Fluido B (Cv)</t>
  </si>
  <si>
    <t>Fluido Mix (Cv)</t>
  </si>
  <si>
    <t>Entropia specifica A</t>
  </si>
  <si>
    <t>Entropia specifica B</t>
  </si>
  <si>
    <t>Entropia specifica Mix</t>
  </si>
  <si>
    <t>J/K</t>
  </si>
  <si>
    <t>Variazione entropica (ΔS)</t>
  </si>
  <si>
    <t>Entropia finale A</t>
  </si>
  <si>
    <t>Entropia finale B</t>
  </si>
  <si>
    <t>Entropia A</t>
  </si>
  <si>
    <t>Entropia B</t>
  </si>
  <si>
    <t>Fluido Mix (Cp)</t>
  </si>
  <si>
    <t>Entropia Mix</t>
  </si>
  <si>
    <t>Massa molare fluido Mix</t>
  </si>
  <si>
    <t>2 fluidi uguali</t>
  </si>
  <si>
    <t>2 fluidi diversi</t>
  </si>
  <si>
    <t>J</t>
  </si>
  <si>
    <t>W</t>
  </si>
  <si>
    <t>°C</t>
  </si>
  <si>
    <t>m³</t>
  </si>
  <si>
    <t>Kg</t>
  </si>
  <si>
    <t>Volume iniziale</t>
  </si>
  <si>
    <t>Volume finale</t>
  </si>
  <si>
    <t>Pressione iniziale</t>
  </si>
  <si>
    <t>Pressione finale</t>
  </si>
  <si>
    <t>Temperatura iniziale</t>
  </si>
  <si>
    <t>Temperatura finale</t>
  </si>
  <si>
    <t>J/kg*K</t>
  </si>
  <si>
    <t>Massa del gas (M)</t>
  </si>
  <si>
    <r>
      <t>m</t>
    </r>
    <r>
      <rPr>
        <sz val="10"/>
        <rFont val="Arial"/>
        <family val="2"/>
      </rPr>
      <t>³</t>
    </r>
  </si>
  <si>
    <t>Pressione finale adiabatica</t>
  </si>
  <si>
    <t>Trasformazione adiabatica</t>
  </si>
  <si>
    <t>Trasformazione isotermica</t>
  </si>
  <si>
    <t>Soluzioni diverse: seguire il tipo di trasformazione (isotermica o adiabatica)</t>
  </si>
  <si>
    <t>Lavoro fatto dall'atmosfera</t>
  </si>
  <si>
    <t>Lavoro netto</t>
  </si>
  <si>
    <t>Lavoro totale</t>
  </si>
  <si>
    <r>
      <t>Grado idrometrico (</t>
    </r>
    <r>
      <rPr>
        <sz val="10"/>
        <rFont val="Arial"/>
        <family val="2"/>
      </rPr>
      <t>φ</t>
    </r>
    <r>
      <rPr>
        <sz val="10"/>
        <rFont val="Arial"/>
        <family val="0"/>
      </rPr>
      <t>) di M1</t>
    </r>
  </si>
  <si>
    <r>
      <t>Grado idrometrico (</t>
    </r>
    <r>
      <rPr>
        <sz val="10"/>
        <rFont val="Arial"/>
        <family val="2"/>
      </rPr>
      <t>φ</t>
    </r>
    <r>
      <rPr>
        <sz val="10"/>
        <rFont val="Arial"/>
        <family val="0"/>
      </rPr>
      <t>) di M2</t>
    </r>
  </si>
  <si>
    <r>
      <t>Grado idrometrico (</t>
    </r>
    <r>
      <rPr>
        <sz val="10"/>
        <rFont val="Arial"/>
        <family val="2"/>
      </rPr>
      <t>φ</t>
    </r>
    <r>
      <rPr>
        <sz val="10"/>
        <rFont val="Arial"/>
        <family val="0"/>
      </rPr>
      <t>) di Mix</t>
    </r>
  </si>
  <si>
    <t>Massa acqua contenuta</t>
  </si>
  <si>
    <t>Massa vapore contenuto</t>
  </si>
  <si>
    <t>Titolo x1</t>
  </si>
  <si>
    <t>Vliquido</t>
  </si>
  <si>
    <t>Vvapore</t>
  </si>
  <si>
    <t>Vvapore-Vliquido</t>
  </si>
  <si>
    <t>Titolo x2</t>
  </si>
  <si>
    <t>Vliquido 1</t>
  </si>
  <si>
    <t>Vvapore 1</t>
  </si>
  <si>
    <t>Vliquido 2</t>
  </si>
  <si>
    <t>Vvapore 2</t>
  </si>
  <si>
    <t>Volume dell'acqua</t>
  </si>
  <si>
    <t>Volume del vapore</t>
  </si>
  <si>
    <t>Massa acqua iniziale</t>
  </si>
  <si>
    <t xml:space="preserve">Pressione finale </t>
  </si>
  <si>
    <t>Energia interna specifica T1</t>
  </si>
  <si>
    <t>Energia interna specifica T2</t>
  </si>
  <si>
    <t>Temperatura di ebollizione T1</t>
  </si>
  <si>
    <t>Temperatura dopo riscaldamento T2</t>
  </si>
  <si>
    <t>Temperatura iniziale T0</t>
  </si>
  <si>
    <t>Calore fornito da T1 a T2</t>
  </si>
  <si>
    <t>Calore latente di vaporizzazione</t>
  </si>
  <si>
    <t>KJ</t>
  </si>
  <si>
    <t>Macchina frigorifera</t>
  </si>
  <si>
    <t>Volume locale</t>
  </si>
  <si>
    <t>Potenza condizionatore</t>
  </si>
  <si>
    <t>kWh</t>
  </si>
  <si>
    <t>Superfice disperdente</t>
  </si>
  <si>
    <t>m²</t>
  </si>
  <si>
    <t>Energia necessaria</t>
  </si>
  <si>
    <t>W/s</t>
  </si>
  <si>
    <t>Capacità termica specifica (Cp)</t>
  </si>
  <si>
    <t>Massa gas a tempetatuta (t1) Mi=</t>
  </si>
  <si>
    <t>Massa gas a tempetatuta (t3) Me=</t>
  </si>
  <si>
    <t>COP (ε)</t>
  </si>
  <si>
    <t>Q1=</t>
  </si>
  <si>
    <t>Dispersione pareti estiva al mq</t>
  </si>
  <si>
    <t>Resistenza termica pareti (Rt)</t>
  </si>
  <si>
    <t>Dispersione pareti estiva totale (Q2)</t>
  </si>
  <si>
    <t>interna</t>
  </si>
  <si>
    <t>t1</t>
  </si>
  <si>
    <t>esterna</t>
  </si>
  <si>
    <t>t2</t>
  </si>
  <si>
    <t>t3</t>
  </si>
  <si>
    <t>t4</t>
  </si>
  <si>
    <t>Coefficiente economico</t>
  </si>
  <si>
    <t>Legge di Fourier</t>
  </si>
  <si>
    <t>T1</t>
  </si>
  <si>
    <t>T2</t>
  </si>
  <si>
    <t>Durata pila data tensione energia e resistenza applicata</t>
  </si>
  <si>
    <t>Tensione pila (V)</t>
  </si>
  <si>
    <t>V</t>
  </si>
  <si>
    <t>Energia pila (E)</t>
  </si>
  <si>
    <t>Resistenza applicata (R)</t>
  </si>
  <si>
    <t>Ω</t>
  </si>
  <si>
    <t>Intensità (i)</t>
  </si>
  <si>
    <t>Ampere (A)</t>
  </si>
  <si>
    <t>Potenza (P)</t>
  </si>
  <si>
    <t>Durata pila (t)</t>
  </si>
  <si>
    <t>sec.</t>
  </si>
  <si>
    <t>min.</t>
  </si>
  <si>
    <t>h</t>
  </si>
  <si>
    <t>Sollevamento di una massa</t>
  </si>
  <si>
    <t>Massa</t>
  </si>
  <si>
    <t>Accellerazione gravità</t>
  </si>
  <si>
    <t>Forza</t>
  </si>
  <si>
    <t>N</t>
  </si>
  <si>
    <t>Spostamento corpo (x)</t>
  </si>
  <si>
    <t>cm</t>
  </si>
  <si>
    <t>m.</t>
  </si>
  <si>
    <t>Energia (J)</t>
  </si>
  <si>
    <t>Tempo di spostamento (t)</t>
  </si>
  <si>
    <t>Agitatore immerso in liquido in recipiente isolato</t>
  </si>
  <si>
    <t>Potenza motore (P)</t>
  </si>
  <si>
    <t>Tempo (t)</t>
  </si>
  <si>
    <t>Massa Liquido</t>
  </si>
  <si>
    <t>Capacita termica liquido</t>
  </si>
  <si>
    <t>Lavoro (L)</t>
  </si>
  <si>
    <t>Watt</t>
  </si>
  <si>
    <t>Agitatore meccanico uguaglianza resistenza elettrica</t>
  </si>
  <si>
    <t>litri</t>
  </si>
  <si>
    <t>Distanza percorsa dal peso P</t>
  </si>
  <si>
    <t>Massa peso (P)</t>
  </si>
  <si>
    <t>Resistenza elettrica filo</t>
  </si>
  <si>
    <t>Intensita corrente (I)</t>
  </si>
  <si>
    <t>Ampere</t>
  </si>
  <si>
    <t>Tempo di riscaldamento (t)</t>
  </si>
  <si>
    <t>Calore elettrico dissipato (ΔU)</t>
  </si>
  <si>
    <t>Acellerazione gravità</t>
  </si>
  <si>
    <r>
      <t>Variazione di energia int. (</t>
    </r>
    <r>
      <rPr>
        <sz val="10"/>
        <rFont val="Arial"/>
        <family val="2"/>
      </rPr>
      <t>Δ</t>
    </r>
    <r>
      <rPr>
        <sz val="10"/>
        <rFont val="Arial"/>
        <family val="0"/>
      </rPr>
      <t>U)</t>
    </r>
  </si>
  <si>
    <r>
      <t>Incremento di temperatura (</t>
    </r>
    <r>
      <rPr>
        <sz val="10"/>
        <rFont val="Arial"/>
        <family val="2"/>
      </rPr>
      <t>Δ</t>
    </r>
    <r>
      <rPr>
        <sz val="10"/>
        <rFont val="Arial"/>
        <family val="0"/>
      </rPr>
      <t>T)</t>
    </r>
  </si>
  <si>
    <t>Cp (J/KgK)</t>
  </si>
  <si>
    <t>Cv (J/KgK)</t>
  </si>
  <si>
    <t>Capacita termica a volume costante (Cv)</t>
  </si>
  <si>
    <t>Capacita termica a pressione costante (Cp)</t>
  </si>
  <si>
    <t>kJ</t>
  </si>
  <si>
    <t>Massimo lavoro estraibile</t>
  </si>
  <si>
    <t>Capacità termica</t>
  </si>
  <si>
    <t>Volume (M)</t>
  </si>
  <si>
    <t>Exergia - Massimo lavoro estraibile</t>
  </si>
  <si>
    <t>V/h</t>
  </si>
  <si>
    <t>m²K/W</t>
  </si>
  <si>
    <t>Temperatura invernale</t>
  </si>
  <si>
    <t>Temperatura estiva</t>
  </si>
  <si>
    <t>Temperatura ext. minima</t>
  </si>
  <si>
    <t>kW</t>
  </si>
  <si>
    <t>x</t>
  </si>
  <si>
    <t>y</t>
  </si>
  <si>
    <t>z</t>
  </si>
  <si>
    <t>volume</t>
  </si>
  <si>
    <t>Dimensioni (m)</t>
  </si>
  <si>
    <t>Temperature</t>
  </si>
  <si>
    <t>Esterna</t>
  </si>
  <si>
    <t>Interna</t>
  </si>
  <si>
    <t>Potenza stufetta</t>
  </si>
  <si>
    <t>Costante del gas (R1)</t>
  </si>
  <si>
    <t>Massa fluido della stanza (M) =</t>
  </si>
  <si>
    <t>Potenza richiesta (Q) =</t>
  </si>
  <si>
    <t>Tempo richiesto per scaldare il locale (T) =</t>
  </si>
  <si>
    <t>€/kWh</t>
  </si>
  <si>
    <t>€</t>
  </si>
  <si>
    <t>Valore di un kWh =</t>
  </si>
  <si>
    <t>Costo =</t>
  </si>
  <si>
    <t>VAPOR ACQUEO</t>
  </si>
  <si>
    <t>Superficie finestre</t>
  </si>
  <si>
    <t>Superficie murature</t>
  </si>
  <si>
    <t>Superficie parallelepipedo</t>
  </si>
  <si>
    <t>Temperatura interna (T1)</t>
  </si>
  <si>
    <t>Temperatura esterna (T2)</t>
  </si>
  <si>
    <t xml:space="preserve">K muro </t>
  </si>
  <si>
    <t>K finestre</t>
  </si>
  <si>
    <t>Tempo di riscaldamento</t>
  </si>
  <si>
    <t>Qdisperso</t>
  </si>
  <si>
    <t>Valore di un kWh</t>
  </si>
  <si>
    <t>s</t>
  </si>
  <si>
    <t>Calore dissipato</t>
  </si>
  <si>
    <t>Costo energia</t>
  </si>
  <si>
    <t>Supponiamo d'aver 1 edificio cubico di lato 10m sorretto da pilotis. Si vuole mantenere una temperatura interna T1=20°C mentre all'esteno abbiamo una T2=0°C. Su ogni parete laterale è inserita una finestra di 2mq. L'edificio è costruito con mattoni UNI pieni, con muri a 2 teste + isolante da 5 cm e rivestimento esterno da 3 cm (spessore tot muro=30/32cm). Poichè gli impianti domestici hanno una potenza istantanea di 3500 W, se 1 kWh = 0,14 €, quanto costa scaldare l'edificio per 6 mesi?</t>
  </si>
  <si>
    <t>Lavoro necessario per comprimere l'aria</t>
  </si>
  <si>
    <t>m³/h</t>
  </si>
  <si>
    <t>Condizionatore d'aria</t>
  </si>
  <si>
    <t>Volume ambiente</t>
  </si>
  <si>
    <t>N° ricambi ora</t>
  </si>
  <si>
    <t>Volume d'aria ogni ora</t>
  </si>
  <si>
    <t>kga/h</t>
  </si>
  <si>
    <r>
      <t xml:space="preserve">M </t>
    </r>
    <r>
      <rPr>
        <sz val="8"/>
        <rFont val="Arial"/>
        <family val="2"/>
      </rPr>
      <t>H2O</t>
    </r>
  </si>
  <si>
    <r>
      <t xml:space="preserve">Pressione vapore </t>
    </r>
    <r>
      <rPr>
        <sz val="8"/>
        <rFont val="Arial"/>
        <family val="2"/>
      </rPr>
      <t>1</t>
    </r>
  </si>
  <si>
    <r>
      <t>φ</t>
    </r>
    <r>
      <rPr>
        <sz val="8"/>
        <rFont val="Arial"/>
        <family val="2"/>
      </rPr>
      <t>1</t>
    </r>
  </si>
  <si>
    <r>
      <t>φ</t>
    </r>
    <r>
      <rPr>
        <sz val="8"/>
        <rFont val="Arial"/>
        <family val="2"/>
      </rPr>
      <t>3</t>
    </r>
  </si>
  <si>
    <r>
      <t>T</t>
    </r>
    <r>
      <rPr>
        <sz val="8"/>
        <rFont val="Arial"/>
        <family val="2"/>
      </rPr>
      <t>1</t>
    </r>
  </si>
  <si>
    <r>
      <t>T</t>
    </r>
    <r>
      <rPr>
        <sz val="8"/>
        <rFont val="Arial"/>
        <family val="2"/>
      </rPr>
      <t>3</t>
    </r>
  </si>
  <si>
    <r>
      <t xml:space="preserve">kg </t>
    </r>
    <r>
      <rPr>
        <sz val="8"/>
        <rFont val="Arial"/>
        <family val="2"/>
      </rPr>
      <t>H2O</t>
    </r>
    <r>
      <rPr>
        <sz val="10"/>
        <rFont val="Arial"/>
        <family val="0"/>
      </rPr>
      <t>/h</t>
    </r>
  </si>
  <si>
    <r>
      <t>Titolo X</t>
    </r>
    <r>
      <rPr>
        <sz val="8"/>
        <rFont val="Arial"/>
        <family val="2"/>
      </rPr>
      <t>1</t>
    </r>
  </si>
  <si>
    <r>
      <t>Titolo X</t>
    </r>
    <r>
      <rPr>
        <sz val="8"/>
        <rFont val="Arial"/>
        <family val="2"/>
      </rPr>
      <t xml:space="preserve">2 = </t>
    </r>
    <r>
      <rPr>
        <sz val="10"/>
        <rFont val="Arial"/>
        <family val="2"/>
      </rPr>
      <t>X</t>
    </r>
    <r>
      <rPr>
        <sz val="8"/>
        <rFont val="Arial"/>
        <family val="2"/>
      </rPr>
      <t>3</t>
    </r>
  </si>
  <si>
    <r>
      <t>Pa</t>
    </r>
    <r>
      <rPr>
        <sz val="8"/>
        <rFont val="Arial"/>
        <family val="2"/>
      </rPr>
      <t>3</t>
    </r>
  </si>
  <si>
    <r>
      <t>Ma</t>
    </r>
    <r>
      <rPr>
        <sz val="8"/>
        <rFont val="Arial"/>
        <family val="2"/>
      </rPr>
      <t>3</t>
    </r>
  </si>
  <si>
    <r>
      <t>Pa</t>
    </r>
    <r>
      <rPr>
        <sz val="8"/>
        <rFont val="Arial"/>
        <family val="2"/>
      </rPr>
      <t>2</t>
    </r>
  </si>
  <si>
    <r>
      <t>T</t>
    </r>
    <r>
      <rPr>
        <sz val="8"/>
        <rFont val="Arial"/>
        <family val="2"/>
      </rPr>
      <t>2</t>
    </r>
  </si>
  <si>
    <r>
      <t>J</t>
    </r>
    <r>
      <rPr>
        <sz val="8"/>
        <rFont val="Arial"/>
        <family val="2"/>
      </rPr>
      <t>1</t>
    </r>
  </si>
  <si>
    <r>
      <t>J</t>
    </r>
    <r>
      <rPr>
        <sz val="8"/>
        <rFont val="Arial"/>
        <family val="2"/>
      </rPr>
      <t>2</t>
    </r>
  </si>
  <si>
    <r>
      <t>J</t>
    </r>
    <r>
      <rPr>
        <sz val="8"/>
        <rFont val="Arial"/>
        <family val="2"/>
      </rPr>
      <t>3</t>
    </r>
  </si>
  <si>
    <r>
      <t>h</t>
    </r>
    <r>
      <rPr>
        <sz val="8"/>
        <rFont val="Arial"/>
        <family val="2"/>
      </rPr>
      <t>liq</t>
    </r>
  </si>
  <si>
    <t>Tcondensato</t>
  </si>
  <si>
    <t>kga/s</t>
  </si>
  <si>
    <r>
      <t xml:space="preserve">kg </t>
    </r>
    <r>
      <rPr>
        <sz val="8"/>
        <rFont val="Arial"/>
        <family val="2"/>
      </rPr>
      <t>H2O</t>
    </r>
    <r>
      <rPr>
        <sz val="10"/>
        <rFont val="Arial"/>
        <family val="0"/>
      </rPr>
      <t>/s</t>
    </r>
  </si>
  <si>
    <t>Potenza ventola (L)</t>
  </si>
  <si>
    <r>
      <t>Potenza ceduta dalla batteria (Q</t>
    </r>
    <r>
      <rPr>
        <sz val="8"/>
        <rFont val="Arial"/>
        <family val="2"/>
      </rPr>
      <t>2</t>
    </r>
    <r>
      <rPr>
        <sz val="10"/>
        <rFont val="Arial"/>
        <family val="2"/>
      </rPr>
      <t>)</t>
    </r>
  </si>
  <si>
    <r>
      <t>Potenza assorbita dalla batteria (Q</t>
    </r>
    <r>
      <rPr>
        <sz val="8"/>
        <rFont val="Arial"/>
        <family val="2"/>
      </rPr>
      <t>1</t>
    </r>
    <r>
      <rPr>
        <sz val="10"/>
        <rFont val="Arial"/>
        <family val="2"/>
      </rPr>
      <t>)</t>
    </r>
  </si>
  <si>
    <r>
      <t xml:space="preserve">Pressione vapore </t>
    </r>
    <r>
      <rPr>
        <sz val="8"/>
        <rFont val="Arial"/>
        <family val="2"/>
      </rPr>
      <t>3</t>
    </r>
    <r>
      <rPr>
        <sz val="10"/>
        <rFont val="Arial"/>
        <family val="2"/>
      </rPr>
      <t xml:space="preserve"> (P</t>
    </r>
    <r>
      <rPr>
        <sz val="8"/>
        <rFont val="Arial"/>
        <family val="2"/>
      </rPr>
      <t>s3</t>
    </r>
    <r>
      <rPr>
        <sz val="10"/>
        <rFont val="Arial"/>
        <family val="2"/>
      </rPr>
      <t>)</t>
    </r>
  </si>
  <si>
    <t>gv/kga</t>
  </si>
  <si>
    <t>Entalpia  liquido</t>
  </si>
  <si>
    <t>Entalpia  vapore</t>
  </si>
  <si>
    <r>
      <t>m</t>
    </r>
    <r>
      <rPr>
        <sz val="10"/>
        <rFont val="Arial"/>
        <family val="2"/>
      </rPr>
      <t>³</t>
    </r>
    <r>
      <rPr>
        <sz val="10"/>
        <rFont val="Arial"/>
        <family val="0"/>
      </rPr>
      <t>/kg</t>
    </r>
  </si>
  <si>
    <t>%</t>
  </si>
  <si>
    <t>V1</t>
  </si>
  <si>
    <t>V2</t>
  </si>
  <si>
    <t>Pressione di saturazione 2   (Ps2)</t>
  </si>
  <si>
    <t>Pressione di saturazione 1   (Ps1)</t>
  </si>
  <si>
    <t>Pressione parziale dell'aria 1   (Pa1)</t>
  </si>
  <si>
    <t>Pressione parziale dell'aria 2   (Pa2)</t>
  </si>
  <si>
    <t>Massa aria 1   (M1)</t>
  </si>
  <si>
    <t>Massa aria 2   (M2)</t>
  </si>
  <si>
    <t>Massa totale aria   (Mtot)</t>
  </si>
  <si>
    <t>Grado igrometrico 2  (φ2)</t>
  </si>
  <si>
    <t>Grado igrometrico 1  (φ1)</t>
  </si>
  <si>
    <t>Titolo della miscela   (X°tot)</t>
  </si>
  <si>
    <t>Titolo massimo ammissibile miscela   (Xtot)</t>
  </si>
  <si>
    <t>Massa vapore condensato   (Mv)</t>
  </si>
  <si>
    <t>Entalpia miscela   (Jtot)</t>
  </si>
  <si>
    <t>Entalpia miscela   (J1)</t>
  </si>
  <si>
    <t>Entalpia miscela   (J2)</t>
  </si>
  <si>
    <t>Energia disponibile serbatoio</t>
  </si>
  <si>
    <t>Temperatura serbatoio</t>
  </si>
  <si>
    <t>Temperatura ambiente</t>
  </si>
  <si>
    <r>
      <t>Rendimento di Carnot   (</t>
    </r>
    <r>
      <rPr>
        <sz val="10"/>
        <rFont val="Arial"/>
        <family val="2"/>
      </rPr>
      <t>ε</t>
    </r>
    <r>
      <rPr>
        <sz val="10"/>
        <rFont val="Arial"/>
        <family val="0"/>
      </rPr>
      <t>c)</t>
    </r>
  </si>
  <si>
    <t>Exergia   (Ex)</t>
  </si>
  <si>
    <r>
      <t>Anergia   (</t>
    </r>
    <r>
      <rPr>
        <sz val="10"/>
        <rFont val="Arial"/>
        <family val="2"/>
      </rPr>
      <t>ε</t>
    </r>
    <r>
      <rPr>
        <sz val="10"/>
        <rFont val="Arial"/>
        <family val="0"/>
      </rPr>
      <t>)</t>
    </r>
  </si>
  <si>
    <t>Exergia e Anergia di un serbatoio</t>
  </si>
  <si>
    <r>
      <t>Un locale sauna è diviso in 2 parti da una doppia porta. Nella prima parte vengono mantenute condizioni di temperatura ed umidità "normali" (20°C, 50% UR), nella seconda la temperatura è pari a 65°C e l'umidità è del 100%. Il volume della prima parte è pari a 36 m</t>
    </r>
    <r>
      <rPr>
        <sz val="10"/>
        <rFont val="Arial"/>
        <family val="2"/>
      </rPr>
      <t>³</t>
    </r>
    <r>
      <rPr>
        <sz val="10"/>
        <rFont val="Arial"/>
        <family val="0"/>
      </rPr>
      <t>, il volume della seconda è pari a 54 m</t>
    </r>
    <r>
      <rPr>
        <sz val="10"/>
        <rFont val="Arial"/>
        <family val="2"/>
      </rPr>
      <t>³</t>
    </r>
    <r>
      <rPr>
        <sz val="10"/>
        <rFont val="Arial"/>
        <family val="0"/>
      </rPr>
      <t>. Le porte di separazione vengono erroneamente lasciate aperte: determinare la temperatura che si viene a stabilire dopo un certo tempo in entrambi i locali, e la massa di vapore condensato.</t>
    </r>
  </si>
  <si>
    <t>ALTRI DATI CHE POSSONO ESSERE CALCOLATI</t>
  </si>
  <si>
    <t>Pressione parziale del vapore   (Pv1)</t>
  </si>
  <si>
    <t>Pressione parziale del vapore   (Pv2)</t>
  </si>
  <si>
    <t>Pressione parziale del vapore   (Pvtot)</t>
  </si>
  <si>
    <t>Grado igrometrico miscela   (φtot)</t>
  </si>
  <si>
    <t>Pressione di saturazione miscela   (Pstot)</t>
  </si>
  <si>
    <t>Temperatura della miscela   (Ttot)</t>
  </si>
  <si>
    <t>Entalpia  (H)</t>
  </si>
  <si>
    <t>Massa fluido   (M)</t>
  </si>
  <si>
    <t>Volume specifico   (v)</t>
  </si>
  <si>
    <t>Temperatura   (T)</t>
  </si>
  <si>
    <t>Pressione   (P)</t>
  </si>
  <si>
    <t>Peso fluido   (Peso)</t>
  </si>
  <si>
    <t>Volume (Vtot)</t>
  </si>
  <si>
    <t>Determinare peso e volume di un fluido, data la pressione, la temperatura e l'entalpia</t>
  </si>
  <si>
    <t>Temperatura fluido iniziale (Tin)</t>
  </si>
  <si>
    <t>Volume recipiente (v)</t>
  </si>
  <si>
    <t>Calore fornito (Q)</t>
  </si>
  <si>
    <t>Temperatura finale (Tout)</t>
  </si>
  <si>
    <t>Massa aria (M1)</t>
  </si>
  <si>
    <t>ΔT</t>
  </si>
  <si>
    <t>Massa aria (M2)</t>
  </si>
  <si>
    <t>Tipo di fluido scaldato</t>
  </si>
  <si>
    <t>Massa aria in uscita (Mout)</t>
  </si>
  <si>
    <t>ΔT= Q/(M1* Cp)</t>
  </si>
  <si>
    <t>Tout= ΔT+Tin</t>
  </si>
  <si>
    <t>M1= (p*V)/(R*Tin)</t>
  </si>
  <si>
    <t>M2= (p*V)/(R*Tout)</t>
  </si>
  <si>
    <t>Mout= M1-M2</t>
  </si>
  <si>
    <t>ARGON</t>
  </si>
  <si>
    <t>BUTANO</t>
  </si>
  <si>
    <t>ETANO</t>
  </si>
  <si>
    <t>ETILENE</t>
  </si>
  <si>
    <t>ELIO</t>
  </si>
  <si>
    <t>METANO</t>
  </si>
  <si>
    <t>NEON</t>
  </si>
  <si>
    <t>PROPANO</t>
  </si>
  <si>
    <t>Peso= M*g</t>
  </si>
  <si>
    <t>Vtot= v*M</t>
  </si>
  <si>
    <t>LEGENDA</t>
  </si>
  <si>
    <t xml:space="preserve">   Dati da inserire</t>
  </si>
  <si>
    <t xml:space="preserve">   Dati da tabelle</t>
  </si>
  <si>
    <t>Costanti</t>
  </si>
  <si>
    <t xml:space="preserve">Tipo di fluido </t>
  </si>
  <si>
    <r>
      <t>m</t>
    </r>
    <r>
      <rPr>
        <sz val="10"/>
        <rFont val="Arial"/>
        <family val="2"/>
      </rPr>
      <t>²</t>
    </r>
  </si>
  <si>
    <r>
      <t>Constante del fluido (</t>
    </r>
    <r>
      <rPr>
        <i/>
        <sz val="10"/>
        <rFont val="Arial"/>
        <family val="2"/>
      </rPr>
      <t>γ</t>
    </r>
    <r>
      <rPr>
        <sz val="10"/>
        <rFont val="Arial"/>
        <family val="2"/>
      </rPr>
      <t>)</t>
    </r>
  </si>
  <si>
    <t>MASSA MOLARE</t>
  </si>
  <si>
    <t>m/s²</t>
  </si>
  <si>
    <t>Riscaldamento locale (con vari fluidi)</t>
  </si>
  <si>
    <t>P</t>
  </si>
  <si>
    <t>Psat</t>
  </si>
  <si>
    <t>Tsat</t>
  </si>
  <si>
    <t>r</t>
  </si>
  <si>
    <t>J/g</t>
  </si>
  <si>
    <t>Mvap</t>
  </si>
  <si>
    <t>g/s</t>
  </si>
  <si>
    <t>Pentola a pressione</t>
  </si>
  <si>
    <t>Sollevamento di una massa (aria secca)</t>
  </si>
  <si>
    <t>Sollevamento di una massa (vapore acqueo all'interno)</t>
  </si>
  <si>
    <t>Massa del grave (M)</t>
  </si>
  <si>
    <t>Area stantuffo (A)</t>
  </si>
  <si>
    <t>cm²</t>
  </si>
  <si>
    <t>Temperatura iniziale (T1)</t>
  </si>
  <si>
    <t>Altezza iniziale stantuffo (Z1)</t>
  </si>
  <si>
    <t>mm</t>
  </si>
  <si>
    <t>Calore trasmesso (Q)</t>
  </si>
  <si>
    <t>Pressione totale (Ptot)</t>
  </si>
  <si>
    <t xml:space="preserve">Titolo x1 </t>
  </si>
  <si>
    <t>Volume iniziale stantuffo (V1)</t>
  </si>
  <si>
    <t>Massa aria (Ma)</t>
  </si>
  <si>
    <t>Temperatura di saturazione (Tsat)</t>
  </si>
  <si>
    <t>Temperatura finale (T2)</t>
  </si>
  <si>
    <t>T2= T1+(Q/Ma*Cp)</t>
  </si>
  <si>
    <t>Volume specifico liquido (vl)</t>
  </si>
  <si>
    <t>m³/kg</t>
  </si>
  <si>
    <t>Volume iniziale stantuffo (V2)</t>
  </si>
  <si>
    <t>Volume specifico vapore (vp)</t>
  </si>
  <si>
    <t>Altezza finale stantuffo (Z2)</t>
  </si>
  <si>
    <t>m</t>
  </si>
  <si>
    <t>Volume specifico 1 (vtot)</t>
  </si>
  <si>
    <t>Lavoro netto (L)</t>
  </si>
  <si>
    <t>L=M*g*∆Z</t>
  </si>
  <si>
    <r>
      <t>Massa acqua (M</t>
    </r>
    <r>
      <rPr>
        <sz val="8"/>
        <rFont val="Arial"/>
        <family val="2"/>
      </rPr>
      <t>H2O</t>
    </r>
    <r>
      <rPr>
        <sz val="10"/>
        <rFont val="Arial"/>
        <family val="0"/>
      </rPr>
      <t>)</t>
    </r>
  </si>
  <si>
    <t>L=(V2-V1)*(Ptot-101325)</t>
  </si>
  <si>
    <t>Variazione entropica (∆E)</t>
  </si>
  <si>
    <t>∆E= Ma*Cp*log(T2/T1)</t>
  </si>
  <si>
    <t>Calore latente ( r )</t>
  </si>
  <si>
    <t>kJ/kg</t>
  </si>
  <si>
    <t>Volume specifico 2 (vtot)</t>
  </si>
  <si>
    <t>Volume finale stantuffo (V2)</t>
  </si>
  <si>
    <t>Altezza finale stantuffo (z2)</t>
  </si>
  <si>
    <t>Entropia differenziale (Sd)</t>
  </si>
  <si>
    <t>Variazione entropica (S)</t>
  </si>
  <si>
    <r>
      <t>Entro un ambiente di volume V pari a 134 m</t>
    </r>
    <r>
      <rPr>
        <sz val="10"/>
        <rFont val="Arial"/>
        <family val="2"/>
      </rPr>
      <t>³</t>
    </r>
    <r>
      <rPr>
        <sz val="10"/>
        <rFont val="Arial"/>
        <family val="0"/>
      </rPr>
      <t xml:space="preserve"> si trova aria umida con temperatura T1 pari a 25°C ed umidità relativa </t>
    </r>
    <r>
      <rPr>
        <sz val="10"/>
        <rFont val="Arial"/>
        <family val="2"/>
      </rPr>
      <t>φ</t>
    </r>
    <r>
      <rPr>
        <sz val="10"/>
        <rFont val="Arial"/>
        <family val="0"/>
      </rPr>
      <t>1 pari a 36%. Nell' ambiente viene introdotta una massa di acqua M2, alla temperatura T1, cosicchè l'umidità cresce ad un valore φ2 pari a 66%. Ovviamente la temperatura cala, mancando qualsiasi apporto di calore esterno.</t>
    </r>
  </si>
  <si>
    <t>Volume stanza (V)</t>
  </si>
  <si>
    <t>Tamperatura iniziale (T1)</t>
  </si>
  <si>
    <r>
      <t>Grado igrometrico (</t>
    </r>
    <r>
      <rPr>
        <sz val="10"/>
        <rFont val="Arial"/>
        <family val="2"/>
      </rPr>
      <t>φ</t>
    </r>
    <r>
      <rPr>
        <sz val="10"/>
        <rFont val="Arial"/>
        <family val="0"/>
      </rPr>
      <t>1)</t>
    </r>
  </si>
  <si>
    <r>
      <t>Grado igrometrico (</t>
    </r>
    <r>
      <rPr>
        <sz val="10"/>
        <rFont val="Arial"/>
        <family val="2"/>
      </rPr>
      <t>φ2</t>
    </r>
    <r>
      <rPr>
        <sz val="10"/>
        <rFont val="Arial"/>
        <family val="0"/>
      </rPr>
      <t>)</t>
    </r>
  </si>
  <si>
    <t>Pressione parziale vapore (pvap)</t>
  </si>
  <si>
    <t>Pressione aria (pa)</t>
  </si>
  <si>
    <t>Massa aria contenuta nella stanza (Ma)</t>
  </si>
  <si>
    <t>Entalpia liquido (hl)</t>
  </si>
  <si>
    <t>Entalpia iniziale (J1)</t>
  </si>
  <si>
    <r>
      <t>Massa acqua (M</t>
    </r>
    <r>
      <rPr>
        <sz val="8"/>
        <rFont val="Arial"/>
        <family val="2"/>
      </rPr>
      <t>H2O</t>
    </r>
    <r>
      <rPr>
        <sz val="10"/>
        <rFont val="Arial"/>
        <family val="2"/>
      </rPr>
      <t>)</t>
    </r>
  </si>
  <si>
    <t>Tamperatura finale (T2)</t>
  </si>
  <si>
    <t>Dati da ipotizzare</t>
  </si>
  <si>
    <t>Pressione di saturazione (psat1)</t>
  </si>
  <si>
    <t>Pressione di saturazione (psat2)</t>
  </si>
  <si>
    <t>Entalpia finale (J2)</t>
  </si>
  <si>
    <t>Tamperatura finale ipotizzata (T2ipo)</t>
  </si>
  <si>
    <t>v= R*T/P</t>
  </si>
  <si>
    <t>M= H/(Cp*T)</t>
  </si>
  <si>
    <r>
      <t>Un recipiente rigido contiene un fluido alla temperatura iniziale pari a 26°C e pressione atmosferica. Il volume del recipiente è di 15 m</t>
    </r>
    <r>
      <rPr>
        <sz val="10"/>
        <rFont val="Arial"/>
        <family val="2"/>
      </rPr>
      <t>³. Il recipiente comunica con l'esterno tramite un piccolo foro. Si riscalda il fluido contenuto nel recipiente, fornendogli una quantità di calore di 134000 J. Determinare temperatura finale e massa d'aria che fuoriesce.</t>
    </r>
  </si>
  <si>
    <r>
      <t>Si calcoli il flusso termico attraverso una parete di mattoni di spessore pari a 0.25 m e area di 10 m</t>
    </r>
    <r>
      <rPr>
        <sz val="10"/>
        <rFont val="Arial"/>
        <family val="2"/>
      </rPr>
      <t>²</t>
    </r>
    <r>
      <rPr>
        <sz val="10"/>
        <rFont val="Arial"/>
        <family val="0"/>
      </rPr>
      <t xml:space="preserve">  con un coefficiente di conduzione </t>
    </r>
    <r>
      <rPr>
        <sz val="10"/>
        <rFont val="Arial"/>
        <family val="2"/>
      </rPr>
      <t>λ</t>
    </r>
    <r>
      <rPr>
        <sz val="10"/>
        <rFont val="Arial"/>
        <family val="0"/>
      </rPr>
      <t>=1 W/mK sapendo che h</t>
    </r>
    <r>
      <rPr>
        <sz val="8"/>
        <rFont val="Arial"/>
        <family val="2"/>
      </rPr>
      <t>in</t>
    </r>
    <r>
      <rPr>
        <sz val="10"/>
        <rFont val="Arial"/>
        <family val="0"/>
      </rPr>
      <t>= 8 W/m</t>
    </r>
    <r>
      <rPr>
        <sz val="10"/>
        <rFont val="Arial"/>
        <family val="2"/>
      </rPr>
      <t>²</t>
    </r>
    <r>
      <rPr>
        <sz val="10"/>
        <rFont val="Arial"/>
        <family val="0"/>
      </rPr>
      <t>K e h</t>
    </r>
    <r>
      <rPr>
        <sz val="8"/>
        <rFont val="Arial"/>
        <family val="2"/>
      </rPr>
      <t>out</t>
    </r>
    <r>
      <rPr>
        <sz val="10"/>
        <rFont val="Arial"/>
        <family val="0"/>
      </rPr>
      <t>= 20 W/m</t>
    </r>
    <r>
      <rPr>
        <sz val="10"/>
        <rFont val="Arial"/>
        <family val="2"/>
      </rPr>
      <t>²</t>
    </r>
    <r>
      <rPr>
        <sz val="10"/>
        <rFont val="Arial"/>
        <family val="0"/>
      </rPr>
      <t>K. Le temperature dell’ambiente sono Tin=20°C e Tout=0°C.</t>
    </r>
  </si>
  <si>
    <t>Superficie disperdente (S)</t>
  </si>
  <si>
    <t>Spessore parete (s)</t>
  </si>
  <si>
    <t>Temperatura interna (Tin)</t>
  </si>
  <si>
    <t>Temperatura esterna (Tout)</t>
  </si>
  <si>
    <r>
      <t>Coeff. di conduzione parete (</t>
    </r>
    <r>
      <rPr>
        <sz val="10"/>
        <rFont val="Arial"/>
        <family val="2"/>
      </rPr>
      <t>λ</t>
    </r>
    <r>
      <rPr>
        <sz val="10"/>
        <rFont val="Arial"/>
        <family val="0"/>
      </rPr>
      <t>)</t>
    </r>
  </si>
  <si>
    <r>
      <t>Coeff. di adduzione  (h</t>
    </r>
    <r>
      <rPr>
        <sz val="8"/>
        <rFont val="Arial"/>
        <family val="2"/>
      </rPr>
      <t>in</t>
    </r>
    <r>
      <rPr>
        <sz val="10"/>
        <rFont val="Arial"/>
        <family val="2"/>
      </rPr>
      <t>)</t>
    </r>
  </si>
  <si>
    <r>
      <t>Coeff. di adduzione  (h</t>
    </r>
    <r>
      <rPr>
        <sz val="8"/>
        <rFont val="Arial"/>
        <family val="2"/>
      </rPr>
      <t>out</t>
    </r>
    <r>
      <rPr>
        <sz val="10"/>
        <rFont val="Arial"/>
        <family val="2"/>
      </rPr>
      <t>)</t>
    </r>
  </si>
  <si>
    <t>W/mK</t>
  </si>
  <si>
    <r>
      <t>W/m</t>
    </r>
    <r>
      <rPr>
        <sz val="10"/>
        <rFont val="Arial"/>
        <family val="2"/>
      </rPr>
      <t>²</t>
    </r>
    <r>
      <rPr>
        <sz val="10"/>
        <rFont val="Arial"/>
        <family val="0"/>
      </rPr>
      <t>K</t>
    </r>
  </si>
  <si>
    <t>Flusso termico (q)</t>
  </si>
  <si>
    <t>Resistenza interna (R1)</t>
  </si>
  <si>
    <t>Resistenza parete (R2)</t>
  </si>
  <si>
    <t>Resistenza esterna (R3)</t>
  </si>
  <si>
    <r>
      <t>m</t>
    </r>
    <r>
      <rPr>
        <sz val="10"/>
        <rFont val="Arial"/>
        <family val="2"/>
      </rPr>
      <t>²</t>
    </r>
    <r>
      <rPr>
        <sz val="10"/>
        <rFont val="Arial"/>
        <family val="0"/>
      </rPr>
      <t>K/W</t>
    </r>
  </si>
  <si>
    <r>
      <t>W/m</t>
    </r>
    <r>
      <rPr>
        <sz val="10"/>
        <rFont val="Arial"/>
        <family val="2"/>
      </rPr>
      <t>²</t>
    </r>
  </si>
  <si>
    <t>Flusso termico parete (Q)</t>
  </si>
  <si>
    <t>Si determini la potenza necessaria per compensare la dispersione di un serbatoio contenente acqua alla temperatura di 100°C se all'esterno vi sono 10°C. La parete del contenitore è composta da una lastra di ferro, di spessore 5 cm, rivestita da un' alterna serie di pannelli, spessore 10 cm, in cemento dalle caratteristiche differenti.</t>
  </si>
  <si>
    <r>
      <t>Coeff. di conduzione acciaio (</t>
    </r>
    <r>
      <rPr>
        <sz val="10"/>
        <rFont val="Arial"/>
        <family val="2"/>
      </rPr>
      <t>λa</t>
    </r>
    <r>
      <rPr>
        <sz val="10"/>
        <rFont val="Arial"/>
        <family val="0"/>
      </rPr>
      <t>)</t>
    </r>
  </si>
  <si>
    <r>
      <t>Coeff. di conduzione cemento (</t>
    </r>
    <r>
      <rPr>
        <sz val="10"/>
        <rFont val="Arial"/>
        <family val="2"/>
      </rPr>
      <t>λb1</t>
    </r>
    <r>
      <rPr>
        <sz val="10"/>
        <rFont val="Arial"/>
        <family val="0"/>
      </rPr>
      <t>)</t>
    </r>
  </si>
  <si>
    <r>
      <t>Coeff. di conduzione cemento (</t>
    </r>
    <r>
      <rPr>
        <sz val="10"/>
        <rFont val="Arial"/>
        <family val="2"/>
      </rPr>
      <t>λb2</t>
    </r>
    <r>
      <rPr>
        <sz val="10"/>
        <rFont val="Arial"/>
        <family val="0"/>
      </rPr>
      <t>)</t>
    </r>
  </si>
  <si>
    <t>Temperatura interna acqua (Ta)</t>
  </si>
  <si>
    <t>Temperatura esterna (Tb)</t>
  </si>
  <si>
    <t>Coeff. di adduzione  (hb)</t>
  </si>
  <si>
    <t>Coeff. di adduzione  (ha)</t>
  </si>
  <si>
    <t>Resistenza di convezione acqua (R1)</t>
  </si>
  <si>
    <t>Resistenza di convezione acciaio (Ra1)</t>
  </si>
  <si>
    <t>Resistenza di convezione cemento (Rb1)</t>
  </si>
  <si>
    <t>Resistenza di convezione aria (Re1)</t>
  </si>
  <si>
    <t>Superficie disperdente 1 (S1)</t>
  </si>
  <si>
    <t>Resistenza di convezione acqua (R2)</t>
  </si>
  <si>
    <t>Resistenza di convezione acciaio (Ra2)</t>
  </si>
  <si>
    <t>Resistenza di convezione aria (Re2)</t>
  </si>
  <si>
    <t>Resistenza di convezione cemento (Rb2)</t>
  </si>
  <si>
    <t>K/W</t>
  </si>
  <si>
    <t>Superficie disperdente 2 (S2)</t>
  </si>
  <si>
    <t>Spessore acciaio (sa)</t>
  </si>
  <si>
    <t>Spessore cemento (sb)</t>
  </si>
  <si>
    <t>Calore disperso totale (Q)</t>
  </si>
  <si>
    <t>Calore disperso totale ramo 1 (Q1)</t>
  </si>
  <si>
    <t>Calore disperso totale ramo 2 (Q2)</t>
  </si>
  <si>
    <t>Resistenza totale ramo 1 (Rtot1)</t>
  </si>
  <si>
    <t>Resistenza totale ramo 2 (Rtot2)</t>
  </si>
  <si>
    <t>Temperatura parete cemento 1 (Tpb1)</t>
  </si>
  <si>
    <t>Temperatura parete cemento 2 (Tpb2)</t>
  </si>
  <si>
    <r>
      <t>In un recipiente rigido avente un volume di 0,08 m</t>
    </r>
    <r>
      <rPr>
        <sz val="10"/>
        <rFont val="Arial"/>
        <family val="2"/>
      </rPr>
      <t>³</t>
    </r>
    <r>
      <rPr>
        <sz val="10"/>
        <rFont val="Arial"/>
        <family val="0"/>
      </rPr>
      <t xml:space="preserve"> è contenuto del vapor d'acqua in condizioni di saturazione alla pressione di 1 bar. Il sistema viene raffreddato fino a che la temperatura del vapore contenuto nella scatola raggiunge la teperatura di 72°C. Determinare la massa di vapore Mc che condensa durante il processo di raffreddamento e la quantità di calore Q sottratta complessivamente al sistema.</t>
    </r>
  </si>
  <si>
    <t>Volume recipiente (V)</t>
  </si>
  <si>
    <t>Temperatura vapore iniziale (T1)</t>
  </si>
  <si>
    <t>Temperatura vapore finale (T2)</t>
  </si>
  <si>
    <t>Volume specifico iniziale (vl1)</t>
  </si>
  <si>
    <r>
      <t>m</t>
    </r>
    <r>
      <rPr>
        <sz val="10"/>
        <rFont val="Arial"/>
        <family val="2"/>
      </rPr>
      <t>³/kg</t>
    </r>
  </si>
  <si>
    <t>Masa vapore contenuta (Mv)</t>
  </si>
  <si>
    <t>Pressione di saturazione finale (P2)</t>
  </si>
  <si>
    <t>Pressione di saturazione iniziale (P1)</t>
  </si>
  <si>
    <t>Titolo vapore saturo finale (x2)</t>
  </si>
  <si>
    <t>Volume vapore-Volume liquido 1</t>
  </si>
  <si>
    <t>Volume vapore-Volume liquido 2</t>
  </si>
  <si>
    <t>Massa d'acqua che condensa (Mc)</t>
  </si>
  <si>
    <t>Entalpia finale del vapore saturo (h2)</t>
  </si>
  <si>
    <t>Entalpia liquido finale (hl2)</t>
  </si>
  <si>
    <t>Calore latente di vaporizzazione ( r )</t>
  </si>
  <si>
    <t>Entalpia liquido iniziale(hl1)</t>
  </si>
  <si>
    <t>Calore sottratto (Q)</t>
  </si>
  <si>
    <t>Volume finale (V2) =</t>
  </si>
  <si>
    <t>Calore fornito in eccesso (L) =</t>
  </si>
  <si>
    <t>Massa fluido (Mg)</t>
  </si>
  <si>
    <t>Temperatura serbatoio (Ts)</t>
  </si>
  <si>
    <t>Cp fluido (Cp)</t>
  </si>
  <si>
    <r>
      <t>Variazione entropica (</t>
    </r>
    <r>
      <rPr>
        <sz val="10"/>
        <rFont val="Arial"/>
        <family val="2"/>
      </rPr>
      <t>ΔSg)</t>
    </r>
  </si>
  <si>
    <r>
      <t>Variazione entropica totale (</t>
    </r>
    <r>
      <rPr>
        <sz val="10"/>
        <rFont val="Arial"/>
        <family val="2"/>
      </rPr>
      <t>Δstot)</t>
    </r>
  </si>
  <si>
    <t>In una camera chiusa mantenuta a pressione costante è contenuta una massa Mg pari a  0,5 kg di idrogeno alla temperatura T1 di 17°C. Un serbatoio di calore alla temperatura Ts di 450 K fornisce calore (Q) al sistema pari a 798 kJ. Si calcoli la variazione di entropia subita dall’idrogeno durante la trasformazione e la variazione globale di entropia associata al processo.</t>
  </si>
  <si>
    <t>In una caldaia per la produzione di vapore, una resistenza genera calore per effetto Joule. La potenza generata è pari a 1056 W. La caldaia contiene acqua satura, alla pressione di 13 bar. Determinare la temperatura e la portata in massa di vapore prodotto.</t>
  </si>
  <si>
    <t>Variare la "T2ipo" fino ad ottenere un valore uguale a "T2"</t>
  </si>
  <si>
    <t>Un subacqueo fa caricare la bombola di un autorespiratore ad aria. La bombola è in ghisa (ρ= 7650 kg/m³), ha una capacità di 13,5 l e da vuota pesa 12 kg. La bombola viene caricata ad una pressione di 245 bar, alla temperatura di 53°C. Determinare il peso della bombola carica, la quantità di aria contenuta in Normalm³ (m³ a 0°C e 1,01325 bar), e l'assetto idrostatico della bombola in acqua dolce (somma algebrica della spinta di Archimede, considerata positiva, e peso della bombola), sia quando è carica, sia quando, alla fine dell'immersione, sarà vuota (attenzione al segno! Positivo se galeggia, negativo se va a fondo...)</t>
  </si>
  <si>
    <t>Volume iniziale (Vin)</t>
  </si>
  <si>
    <t>l</t>
  </si>
  <si>
    <t>Peso bombola vuota (Pv)</t>
  </si>
  <si>
    <t>Pressione 2 (P2)</t>
  </si>
  <si>
    <t>Temperatura 2 (T2)</t>
  </si>
  <si>
    <t>kg/m³</t>
  </si>
  <si>
    <t>Massa d'aria caricata (M)</t>
  </si>
  <si>
    <t>M= P2*V/(R*T)</t>
  </si>
  <si>
    <t>Peso bombola carica (Pc)</t>
  </si>
  <si>
    <t>Pc= Pv+M</t>
  </si>
  <si>
    <t>Aria contenuta (Vo)</t>
  </si>
  <si>
    <t>Vo= M*R*T/P</t>
  </si>
  <si>
    <t>Volume ghisa (Vghi)</t>
  </si>
  <si>
    <t>Volume totale (Vtot)</t>
  </si>
  <si>
    <t>Vtot= Vin+Vghi</t>
  </si>
  <si>
    <t>Assetto bombola piena (Ap)</t>
  </si>
  <si>
    <t>Ap= Vtot-Pc</t>
  </si>
  <si>
    <t>Assetto bombola vuota (Av)</t>
  </si>
  <si>
    <t>Av= Vtot-Pv</t>
  </si>
  <si>
    <r>
      <t>Densità ghisa (</t>
    </r>
    <r>
      <rPr>
        <i/>
        <sz val="10"/>
        <rFont val="Arial"/>
        <family val="2"/>
      </rPr>
      <t>ρ</t>
    </r>
    <r>
      <rPr>
        <sz val="10"/>
        <rFont val="Arial"/>
        <family val="0"/>
      </rPr>
      <t>)</t>
    </r>
  </si>
  <si>
    <r>
      <t xml:space="preserve">Vghi= </t>
    </r>
    <r>
      <rPr>
        <i/>
        <sz val="10"/>
        <rFont val="Arial"/>
        <family val="2"/>
      </rPr>
      <t>ρ</t>
    </r>
    <r>
      <rPr>
        <sz val="10"/>
        <rFont val="Arial"/>
        <family val="2"/>
      </rPr>
      <t>*Pv</t>
    </r>
  </si>
  <si>
    <r>
      <t>Densità piombo (</t>
    </r>
    <r>
      <rPr>
        <i/>
        <sz val="10"/>
        <rFont val="Arial"/>
        <family val="2"/>
      </rPr>
      <t>ρ</t>
    </r>
    <r>
      <rPr>
        <sz val="10"/>
        <rFont val="Arial"/>
        <family val="0"/>
      </rPr>
      <t>)</t>
    </r>
  </si>
  <si>
    <t>Profondità (H)</t>
  </si>
  <si>
    <t>Massa ancora (M)</t>
  </si>
  <si>
    <t>Peso ancora (P)</t>
  </si>
  <si>
    <t>P= M*g</t>
  </si>
  <si>
    <r>
      <t>Vtot= M/</t>
    </r>
    <r>
      <rPr>
        <i/>
        <sz val="10"/>
        <rFont val="Arial"/>
        <family val="2"/>
      </rPr>
      <t>ρ</t>
    </r>
  </si>
  <si>
    <r>
      <t>Densità acqua (</t>
    </r>
    <r>
      <rPr>
        <i/>
        <sz val="10"/>
        <rFont val="Arial"/>
        <family val="2"/>
      </rPr>
      <t>ρ</t>
    </r>
    <r>
      <rPr>
        <sz val="8"/>
        <rFont val="Arial"/>
        <family val="2"/>
      </rPr>
      <t>H2O</t>
    </r>
    <r>
      <rPr>
        <sz val="10"/>
        <rFont val="Arial"/>
        <family val="0"/>
      </rPr>
      <t>)</t>
    </r>
  </si>
  <si>
    <t>Volume aria (Varia)</t>
  </si>
  <si>
    <t>Per sollevare dal fondo del mare, alla profondità di 26 m, un ancora romana in piombo, avente una massa di 85 kg, un subaqueo gonfia d'aria una leggera sacca di nylon, fissata all'ancora, fino a che essa comincia a salire molto lentamente (segno che la spinta idrostatica pareggia il peso in acqua dell'ancora di piombo). Determinare il volume di aria introdotto nella sacca e il volume finale della sacca in superficie.</t>
  </si>
  <si>
    <t>Pressione a -26 m (P1)</t>
  </si>
  <si>
    <t>Volume aria finale (V2)</t>
  </si>
  <si>
    <t>Varia= (P/(ρH2O*H))-Vtot</t>
  </si>
  <si>
    <t>P1= (g*ρ*H)+ Pressione atmosferica</t>
  </si>
  <si>
    <t>V2= P1*Varia/Pressione atmosferica</t>
  </si>
  <si>
    <t>Ricambio orario</t>
  </si>
  <si>
    <t>Per la creazione di tutte le tabelle si ringrazia</t>
  </si>
  <si>
    <t>Bianchi Michael</t>
  </si>
  <si>
    <t>Bicchieri Stefano</t>
  </si>
  <si>
    <t>Botti Matteo</t>
  </si>
  <si>
    <t>Gerlando LoPresti</t>
  </si>
  <si>
    <t>Gibellini Mjria</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</si>
</sst>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 numFmtId="170" formatCode="0.0000000000"/>
  </numFmts>
  <fonts count="17">
    <font>
      <sz val="10"/>
      <name val="Arial"/>
      <family val="0"/>
    </font>
    <font>
      <sz val="8"/>
      <name val="Tahoma"/>
      <family val="0"/>
    </font>
    <font>
      <b/>
      <sz val="8"/>
      <name val="Tahoma"/>
      <family val="0"/>
    </font>
    <font>
      <b/>
      <sz val="10"/>
      <name val="Arial"/>
      <family val="2"/>
    </font>
    <font>
      <i/>
      <sz val="10"/>
      <name val="Arial"/>
      <family val="2"/>
    </font>
    <font>
      <u val="single"/>
      <sz val="10"/>
      <name val="Arial"/>
      <family val="2"/>
    </font>
    <font>
      <sz val="8"/>
      <name val="Arial"/>
      <family val="0"/>
    </font>
    <font>
      <sz val="10"/>
      <color indexed="8"/>
      <name val="Arial"/>
      <family val="0"/>
    </font>
    <font>
      <b/>
      <sz val="12"/>
      <name val="Arial"/>
      <family val="2"/>
    </font>
    <font>
      <b/>
      <sz val="8"/>
      <color indexed="8"/>
      <name val="Tahoma"/>
      <family val="2"/>
    </font>
    <font>
      <sz val="8"/>
      <color indexed="8"/>
      <name val="Tahoma"/>
      <family val="2"/>
    </font>
    <font>
      <sz val="10"/>
      <name val="Tahoma"/>
      <family val="0"/>
    </font>
    <font>
      <u val="single"/>
      <sz val="10"/>
      <color indexed="12"/>
      <name val="Arial"/>
      <family val="0"/>
    </font>
    <font>
      <u val="single"/>
      <sz val="10"/>
      <color indexed="36"/>
      <name val="Arial"/>
      <family val="0"/>
    </font>
    <font>
      <sz val="16"/>
      <name val="BankGothic Md BT"/>
      <family val="2"/>
    </font>
    <font>
      <sz val="14"/>
      <color indexed="9"/>
      <name val="BankGothic Md BT"/>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8"/>
        <bgColor indexed="64"/>
      </patternFill>
    </fill>
  </fills>
  <borders count="59">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right>
        <color indexed="63"/>
      </right>
      <top style="thin"/>
      <bottom style="thin"/>
    </border>
    <border>
      <left>
        <color indexed="63"/>
      </left>
      <right style="thin"/>
      <top style="thin"/>
      <bottom style="medium"/>
    </border>
    <border>
      <left style="medium"/>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9"/>
      </left>
      <right style="thin"/>
      <top style="thin">
        <color indexed="9"/>
      </top>
      <bottom style="thin">
        <color indexed="9"/>
      </bottom>
    </border>
    <border>
      <left style="thin"/>
      <right style="thin"/>
      <top style="thin">
        <color indexed="9"/>
      </top>
      <bottom style="thin">
        <color indexed="9"/>
      </bottom>
    </border>
    <border>
      <left style="thin"/>
      <right style="thin">
        <color indexed="9"/>
      </right>
      <top style="thin">
        <color indexed="9"/>
      </top>
      <bottom style="thin">
        <color indexed="9"/>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3">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2" borderId="0" xfId="0" applyFill="1" applyBorder="1" applyAlignment="1">
      <alignment/>
    </xf>
    <xf numFmtId="0" fontId="0" fillId="3" borderId="0" xfId="0" applyFill="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4" borderId="10" xfId="0" applyFill="1" applyBorder="1" applyAlignment="1">
      <alignment/>
    </xf>
    <xf numFmtId="0" fontId="0" fillId="4" borderId="11" xfId="0" applyFill="1" applyBorder="1" applyAlignment="1">
      <alignment/>
    </xf>
    <xf numFmtId="0" fontId="0" fillId="0" borderId="5" xfId="0" applyFill="1" applyBorder="1" applyAlignment="1">
      <alignment/>
    </xf>
    <xf numFmtId="0" fontId="3" fillId="4" borderId="12" xfId="0" applyFont="1" applyFill="1" applyBorder="1" applyAlignment="1">
      <alignment/>
    </xf>
    <xf numFmtId="2" fontId="0" fillId="3" borderId="0" xfId="0" applyNumberFormat="1" applyFill="1" applyBorder="1" applyAlignment="1">
      <alignment/>
    </xf>
    <xf numFmtId="0" fontId="0" fillId="0" borderId="0" xfId="0" applyFill="1" applyBorder="1" applyAlignment="1">
      <alignment/>
    </xf>
    <xf numFmtId="2" fontId="0" fillId="2" borderId="0" xfId="0" applyNumberFormat="1" applyFill="1" applyBorder="1" applyAlignment="1">
      <alignment/>
    </xf>
    <xf numFmtId="0" fontId="0" fillId="2" borderId="0" xfId="0" applyFont="1" applyFill="1" applyBorder="1" applyAlignment="1">
      <alignment/>
    </xf>
    <xf numFmtId="0" fontId="0" fillId="0" borderId="6" xfId="0" applyFill="1" applyBorder="1" applyAlignment="1">
      <alignment/>
    </xf>
    <xf numFmtId="0" fontId="0" fillId="2" borderId="0" xfId="0" applyFill="1" applyBorder="1" applyAlignment="1">
      <alignment horizontal="right"/>
    </xf>
    <xf numFmtId="0" fontId="4" fillId="0" borderId="0" xfId="0" applyFont="1" applyAlignment="1">
      <alignment/>
    </xf>
    <xf numFmtId="0" fontId="3" fillId="0" borderId="0" xfId="0" applyFont="1" applyAlignment="1">
      <alignment/>
    </xf>
    <xf numFmtId="0" fontId="0" fillId="0" borderId="0" xfId="0" applyAlignment="1">
      <alignment horizontal="right" vertical="center"/>
    </xf>
    <xf numFmtId="0" fontId="5" fillId="0" borderId="0" xfId="0" applyFont="1" applyAlignment="1">
      <alignment horizontal="center"/>
    </xf>
    <xf numFmtId="0" fontId="0" fillId="0" borderId="0" xfId="0" applyAlignment="1">
      <alignment horizontal="center" vertical="center"/>
    </xf>
    <xf numFmtId="0" fontId="5" fillId="0" borderId="0" xfId="0" applyFont="1" applyAlignment="1">
      <alignment/>
    </xf>
    <xf numFmtId="0" fontId="0" fillId="0" borderId="0" xfId="0" applyAlignment="1">
      <alignment horizontal="left" vertical="center"/>
    </xf>
    <xf numFmtId="0" fontId="0" fillId="0" borderId="0" xfId="0" applyAlignment="1">
      <alignment horizontal="center"/>
    </xf>
    <xf numFmtId="0" fontId="0" fillId="0" borderId="0" xfId="0" applyFill="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Alignment="1">
      <alignment vertical="center"/>
    </xf>
    <xf numFmtId="0" fontId="0" fillId="0" borderId="0" xfId="0" applyAlignment="1">
      <alignment/>
    </xf>
    <xf numFmtId="0" fontId="5" fillId="0" borderId="0" xfId="0" applyFont="1" applyAlignment="1">
      <alignment/>
    </xf>
    <xf numFmtId="0" fontId="0" fillId="0" borderId="0" xfId="0" applyAlignment="1">
      <alignment vertical="top"/>
    </xf>
    <xf numFmtId="0" fontId="3" fillId="0" borderId="0" xfId="0" applyFon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right"/>
    </xf>
    <xf numFmtId="165" fontId="0" fillId="0" borderId="1" xfId="0" applyNumberFormat="1" applyBorder="1" applyAlignment="1">
      <alignment/>
    </xf>
    <xf numFmtId="165" fontId="0" fillId="0" borderId="1" xfId="0" applyNumberFormat="1" applyFont="1" applyFill="1" applyBorder="1" applyAlignment="1">
      <alignment/>
    </xf>
    <xf numFmtId="165" fontId="0" fillId="0" borderId="1" xfId="0" applyNumberFormat="1" applyFont="1" applyFill="1" applyBorder="1" applyAlignment="1">
      <alignment/>
    </xf>
    <xf numFmtId="165" fontId="0" fillId="0" borderId="1" xfId="0" applyNumberFormat="1" applyFont="1" applyBorder="1" applyAlignment="1">
      <alignment/>
    </xf>
    <xf numFmtId="2" fontId="0" fillId="0" borderId="1" xfId="0" applyNumberFormat="1" applyBorder="1" applyAlignment="1">
      <alignment/>
    </xf>
    <xf numFmtId="168" fontId="0" fillId="0" borderId="1" xfId="0" applyNumberFormat="1" applyBorder="1" applyAlignment="1">
      <alignment/>
    </xf>
    <xf numFmtId="0" fontId="0" fillId="0" borderId="3" xfId="0" applyFill="1" applyBorder="1" applyAlignment="1">
      <alignment/>
    </xf>
    <xf numFmtId="0" fontId="0" fillId="0" borderId="4" xfId="0" applyFill="1" applyBorder="1" applyAlignment="1">
      <alignment/>
    </xf>
    <xf numFmtId="0" fontId="3" fillId="0" borderId="2" xfId="0" applyFont="1" applyFill="1" applyBorder="1" applyAlignment="1">
      <alignment/>
    </xf>
    <xf numFmtId="0" fontId="0" fillId="0" borderId="5" xfId="0" applyFont="1" applyFill="1" applyBorder="1" applyAlignment="1">
      <alignment/>
    </xf>
    <xf numFmtId="0" fontId="0" fillId="0" borderId="0" xfId="0" applyFont="1" applyFill="1" applyBorder="1" applyAlignment="1">
      <alignment/>
    </xf>
    <xf numFmtId="168" fontId="0" fillId="3" borderId="0" xfId="0" applyNumberFormat="1" applyFill="1" applyBorder="1" applyAlignment="1">
      <alignment/>
    </xf>
    <xf numFmtId="169" fontId="0" fillId="3" borderId="0" xfId="0" applyNumberFormat="1" applyFill="1" applyBorder="1" applyAlignment="1">
      <alignment/>
    </xf>
    <xf numFmtId="0" fontId="0" fillId="0" borderId="0" xfId="0" applyAlignment="1">
      <alignment horizontal="left"/>
    </xf>
    <xf numFmtId="0" fontId="0" fillId="0" borderId="0" xfId="0" applyNumberFormat="1" applyAlignment="1">
      <alignment/>
    </xf>
    <xf numFmtId="0" fontId="0" fillId="2" borderId="0" xfId="0" applyNumberFormat="1" applyFill="1" applyAlignment="1">
      <alignment/>
    </xf>
    <xf numFmtId="0" fontId="7" fillId="3" borderId="0" xfId="0" applyNumberFormat="1" applyFont="1" applyFill="1" applyAlignment="1">
      <alignment/>
    </xf>
    <xf numFmtId="167" fontId="7" fillId="3" borderId="0" xfId="0" applyNumberFormat="1" applyFont="1" applyFill="1" applyAlignment="1">
      <alignment/>
    </xf>
    <xf numFmtId="0" fontId="0" fillId="3" borderId="0" xfId="0" applyNumberFormat="1" applyFill="1" applyAlignment="1">
      <alignment/>
    </xf>
    <xf numFmtId="0" fontId="0" fillId="0" borderId="0" xfId="0" applyFont="1" applyAlignment="1">
      <alignment horizontal="left"/>
    </xf>
    <xf numFmtId="1" fontId="0" fillId="3" borderId="0" xfId="0" applyNumberFormat="1" applyFill="1" applyAlignment="1">
      <alignment/>
    </xf>
    <xf numFmtId="1" fontId="0" fillId="0" borderId="0" xfId="0" applyNumberFormat="1" applyFill="1" applyAlignment="1">
      <alignment/>
    </xf>
    <xf numFmtId="0" fontId="0" fillId="0" borderId="5" xfId="0" applyBorder="1" applyAlignment="1">
      <alignment horizontal="left"/>
    </xf>
    <xf numFmtId="0" fontId="0" fillId="0" borderId="0" xfId="0" applyNumberFormat="1" applyBorder="1" applyAlignment="1">
      <alignment/>
    </xf>
    <xf numFmtId="0" fontId="0" fillId="0" borderId="5" xfId="0" applyBorder="1" applyAlignment="1">
      <alignment horizontal="right"/>
    </xf>
    <xf numFmtId="0" fontId="0" fillId="0" borderId="5" xfId="0" applyFill="1" applyBorder="1" applyAlignment="1">
      <alignment horizontal="left"/>
    </xf>
    <xf numFmtId="0" fontId="0" fillId="0" borderId="0" xfId="0" applyNumberFormat="1" applyFill="1" applyBorder="1" applyAlignment="1">
      <alignment/>
    </xf>
    <xf numFmtId="0" fontId="0" fillId="0" borderId="7" xfId="0" applyBorder="1" applyAlignment="1">
      <alignment horizontal="right"/>
    </xf>
    <xf numFmtId="0" fontId="0" fillId="0" borderId="8" xfId="0" applyNumberFormat="1" applyBorder="1" applyAlignment="1">
      <alignment/>
    </xf>
    <xf numFmtId="1" fontId="0" fillId="3" borderId="0" xfId="0" applyNumberFormat="1" applyFill="1" applyBorder="1" applyAlignment="1">
      <alignment/>
    </xf>
    <xf numFmtId="1" fontId="0" fillId="0" borderId="0" xfId="0" applyNumberFormat="1" applyFill="1" applyBorder="1" applyAlignment="1">
      <alignment/>
    </xf>
    <xf numFmtId="0" fontId="0" fillId="0" borderId="2" xfId="0" applyBorder="1" applyAlignment="1">
      <alignment horizontal="left"/>
    </xf>
    <xf numFmtId="0" fontId="0" fillId="3" borderId="3" xfId="0" applyNumberFormat="1" applyFill="1" applyBorder="1" applyAlignment="1">
      <alignment/>
    </xf>
    <xf numFmtId="0" fontId="0" fillId="0" borderId="3" xfId="0" applyNumberFormat="1" applyBorder="1" applyAlignment="1">
      <alignment/>
    </xf>
    <xf numFmtId="2" fontId="0" fillId="3" borderId="3" xfId="0" applyNumberFormat="1" applyFill="1" applyBorder="1" applyAlignment="1">
      <alignment/>
    </xf>
    <xf numFmtId="1" fontId="0" fillId="3" borderId="3" xfId="0" applyNumberFormat="1" applyFill="1" applyBorder="1" applyAlignment="1">
      <alignment/>
    </xf>
    <xf numFmtId="0" fontId="0" fillId="0" borderId="3" xfId="0" applyBorder="1" applyAlignment="1">
      <alignment horizontal="left"/>
    </xf>
    <xf numFmtId="0" fontId="0" fillId="0" borderId="0" xfId="0" applyBorder="1" applyAlignment="1">
      <alignment horizontal="lef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2" borderId="16" xfId="0" applyFill="1" applyBorder="1" applyAlignment="1">
      <alignment horizontal="center"/>
    </xf>
    <xf numFmtId="0" fontId="0" fillId="2" borderId="17" xfId="0" applyFill="1" applyBorder="1" applyAlignment="1">
      <alignment horizontal="center"/>
    </xf>
    <xf numFmtId="0" fontId="3" fillId="4" borderId="1" xfId="0" applyFont="1" applyFill="1" applyBorder="1" applyAlignment="1">
      <alignment/>
    </xf>
    <xf numFmtId="0" fontId="3" fillId="4" borderId="14" xfId="0" applyFont="1" applyFill="1" applyBorder="1" applyAlignment="1">
      <alignment/>
    </xf>
    <xf numFmtId="0" fontId="3" fillId="0" borderId="0" xfId="0" applyFont="1" applyFill="1" applyBorder="1" applyAlignment="1">
      <alignment/>
    </xf>
    <xf numFmtId="0" fontId="0" fillId="0" borderId="0" xfId="0" applyFill="1" applyBorder="1" applyAlignment="1">
      <alignment vertical="center"/>
    </xf>
    <xf numFmtId="0" fontId="0" fillId="0" borderId="0" xfId="0" applyFill="1" applyBorder="1" applyAlignment="1">
      <alignment horizontal="right" vertical="center"/>
    </xf>
    <xf numFmtId="0" fontId="5" fillId="0" borderId="0" xfId="0" applyFont="1" applyFill="1" applyBorder="1" applyAlignment="1">
      <alignment/>
    </xf>
    <xf numFmtId="2" fontId="0" fillId="0" borderId="0" xfId="0" applyNumberFormat="1" applyAlignment="1">
      <alignment/>
    </xf>
    <xf numFmtId="164" fontId="0" fillId="0" borderId="1" xfId="0" applyNumberFormat="1" applyFill="1" applyBorder="1" applyAlignment="1">
      <alignment/>
    </xf>
    <xf numFmtId="164" fontId="0" fillId="0" borderId="1" xfId="0" applyNumberFormat="1" applyBorder="1" applyAlignment="1">
      <alignment/>
    </xf>
    <xf numFmtId="164" fontId="0" fillId="0" borderId="1" xfId="0" applyNumberFormat="1" applyFont="1" applyFill="1" applyBorder="1" applyAlignment="1">
      <alignment/>
    </xf>
    <xf numFmtId="164" fontId="0" fillId="0" borderId="1" xfId="0" applyNumberFormat="1" applyFont="1" applyFill="1" applyBorder="1" applyAlignment="1">
      <alignment/>
    </xf>
    <xf numFmtId="164" fontId="0" fillId="0" borderId="1" xfId="0" applyNumberFormat="1" applyFont="1" applyBorder="1" applyAlignment="1">
      <alignment/>
    </xf>
    <xf numFmtId="169" fontId="0" fillId="0" borderId="1" xfId="0" applyNumberFormat="1" applyFill="1" applyBorder="1" applyAlignment="1">
      <alignment/>
    </xf>
    <xf numFmtId="169" fontId="0" fillId="0" borderId="1" xfId="0" applyNumberFormat="1" applyFont="1" applyFill="1" applyBorder="1" applyAlignment="1">
      <alignment/>
    </xf>
    <xf numFmtId="169" fontId="0" fillId="0" borderId="1" xfId="0" applyNumberFormat="1" applyBorder="1" applyAlignment="1">
      <alignment/>
    </xf>
    <xf numFmtId="169" fontId="0" fillId="0" borderId="1" xfId="0" applyNumberFormat="1" applyBorder="1" applyAlignment="1">
      <alignment vertical="center"/>
    </xf>
    <xf numFmtId="169" fontId="0" fillId="0" borderId="1" xfId="0" applyNumberFormat="1" applyFont="1" applyFill="1" applyBorder="1" applyAlignment="1">
      <alignment horizontal="right"/>
    </xf>
    <xf numFmtId="169" fontId="0" fillId="0" borderId="1" xfId="0" applyNumberFormat="1" applyFont="1" applyFill="1" applyBorder="1" applyAlignment="1">
      <alignment/>
    </xf>
    <xf numFmtId="0" fontId="3" fillId="4" borderId="2" xfId="0" applyFont="1" applyFill="1" applyBorder="1" applyAlignment="1">
      <alignment/>
    </xf>
    <xf numFmtId="0" fontId="0" fillId="4" borderId="3" xfId="0" applyFill="1" applyBorder="1" applyAlignment="1">
      <alignment/>
    </xf>
    <xf numFmtId="0" fontId="0" fillId="4" borderId="4" xfId="0" applyFill="1" applyBorder="1" applyAlignment="1">
      <alignment/>
    </xf>
    <xf numFmtId="0" fontId="0" fillId="0" borderId="0" xfId="0" applyFont="1" applyBorder="1" applyAlignment="1">
      <alignment/>
    </xf>
    <xf numFmtId="0" fontId="3" fillId="4" borderId="10" xfId="0" applyFont="1" applyFill="1" applyBorder="1" applyAlignment="1">
      <alignment/>
    </xf>
    <xf numFmtId="0" fontId="3" fillId="4" borderId="11" xfId="0" applyFont="1" applyFill="1" applyBorder="1" applyAlignment="1">
      <alignment/>
    </xf>
    <xf numFmtId="2" fontId="0" fillId="3" borderId="0" xfId="17" applyNumberFormat="1" applyFill="1" applyBorder="1" applyAlignment="1">
      <alignment/>
    </xf>
    <xf numFmtId="0" fontId="0" fillId="0" borderId="16" xfId="0" applyFill="1" applyBorder="1" applyAlignment="1">
      <alignment/>
    </xf>
    <xf numFmtId="0" fontId="0" fillId="0" borderId="17" xfId="0" applyFill="1" applyBorder="1" applyAlignment="1">
      <alignment/>
    </xf>
    <xf numFmtId="167" fontId="7" fillId="0" borderId="0" xfId="0" applyNumberFormat="1" applyFont="1" applyFill="1" applyAlignment="1">
      <alignment/>
    </xf>
    <xf numFmtId="0" fontId="0" fillId="0" borderId="0" xfId="0" applyNumberFormat="1" applyFill="1" applyAlignment="1">
      <alignment/>
    </xf>
    <xf numFmtId="0" fontId="0" fillId="0" borderId="18" xfId="0" applyFont="1" applyBorder="1" applyAlignment="1">
      <alignment horizontal="left"/>
    </xf>
    <xf numFmtId="0" fontId="0" fillId="0" borderId="19" xfId="0" applyBorder="1" applyAlignment="1">
      <alignment/>
    </xf>
    <xf numFmtId="0" fontId="0" fillId="0" borderId="20" xfId="0" applyBorder="1" applyAlignment="1">
      <alignment/>
    </xf>
    <xf numFmtId="1" fontId="0" fillId="5" borderId="20" xfId="0" applyNumberFormat="1" applyFill="1" applyBorder="1" applyAlignment="1">
      <alignment/>
    </xf>
    <xf numFmtId="0" fontId="0" fillId="0" borderId="21" xfId="0" applyBorder="1" applyAlignment="1">
      <alignment/>
    </xf>
    <xf numFmtId="0" fontId="0" fillId="0" borderId="22" xfId="0" applyBorder="1" applyAlignment="1">
      <alignment/>
    </xf>
    <xf numFmtId="0" fontId="0" fillId="0" borderId="18" xfId="0" applyBorder="1" applyAlignment="1">
      <alignment/>
    </xf>
    <xf numFmtId="0" fontId="0" fillId="6" borderId="0" xfId="0" applyFill="1" applyBorder="1" applyAlignment="1">
      <alignment/>
    </xf>
    <xf numFmtId="0" fontId="0" fillId="5" borderId="0" xfId="0" applyFill="1" applyBorder="1" applyAlignment="1">
      <alignment/>
    </xf>
    <xf numFmtId="0" fontId="3" fillId="7" borderId="23" xfId="0" applyFont="1" applyFill="1" applyBorder="1" applyAlignment="1">
      <alignment/>
    </xf>
    <xf numFmtId="0" fontId="3" fillId="7" borderId="24" xfId="0" applyFont="1" applyFill="1" applyBorder="1" applyAlignment="1">
      <alignment/>
    </xf>
    <xf numFmtId="0" fontId="3" fillId="7" borderId="25" xfId="0" applyFont="1" applyFill="1" applyBorder="1" applyAlignment="1">
      <alignment/>
    </xf>
    <xf numFmtId="0" fontId="0" fillId="0" borderId="0" xfId="0" applyFont="1" applyBorder="1" applyAlignment="1">
      <alignment/>
    </xf>
    <xf numFmtId="0" fontId="0" fillId="6" borderId="0" xfId="0" applyFont="1" applyFill="1" applyBorder="1" applyAlignment="1">
      <alignment/>
    </xf>
    <xf numFmtId="0" fontId="0" fillId="0" borderId="0" xfId="0" applyFont="1" applyBorder="1" applyAlignment="1">
      <alignment horizontal="left"/>
    </xf>
    <xf numFmtId="0" fontId="0" fillId="5" borderId="0" xfId="0" applyFont="1" applyFill="1" applyBorder="1" applyAlignment="1">
      <alignment/>
    </xf>
    <xf numFmtId="0" fontId="0" fillId="5" borderId="0" xfId="0" applyFont="1" applyFill="1" applyBorder="1" applyAlignment="1">
      <alignment horizontal="right"/>
    </xf>
    <xf numFmtId="0" fontId="0" fillId="6" borderId="0" xfId="0" applyFont="1" applyFill="1" applyBorder="1" applyAlignment="1">
      <alignment horizontal="right"/>
    </xf>
    <xf numFmtId="0" fontId="0" fillId="0" borderId="0" xfId="0" applyFont="1" applyBorder="1" applyAlignment="1">
      <alignment horizontal="right"/>
    </xf>
    <xf numFmtId="0" fontId="0" fillId="0" borderId="0" xfId="0" applyFont="1" applyAlignment="1">
      <alignment/>
    </xf>
    <xf numFmtId="0" fontId="0" fillId="0" borderId="0" xfId="0" applyFont="1" applyAlignment="1">
      <alignment horizontal="right"/>
    </xf>
    <xf numFmtId="0" fontId="0" fillId="0" borderId="2" xfId="0" applyFont="1" applyBorder="1" applyAlignment="1">
      <alignmen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Fill="1" applyBorder="1" applyAlignment="1">
      <alignment/>
    </xf>
    <xf numFmtId="0" fontId="0" fillId="0" borderId="0" xfId="0" applyBorder="1" applyAlignment="1">
      <alignment horizontal="right"/>
    </xf>
    <xf numFmtId="2" fontId="0" fillId="5" borderId="0" xfId="0" applyNumberFormat="1" applyFont="1" applyFill="1" applyBorder="1" applyAlignment="1">
      <alignment horizontal="right"/>
    </xf>
    <xf numFmtId="2" fontId="0" fillId="5" borderId="0" xfId="0" applyNumberFormat="1" applyFont="1" applyFill="1" applyBorder="1" applyAlignment="1">
      <alignment/>
    </xf>
    <xf numFmtId="1" fontId="0" fillId="5" borderId="0" xfId="0" applyNumberFormat="1" applyFont="1" applyFill="1" applyBorder="1" applyAlignment="1">
      <alignment horizontal="right"/>
    </xf>
    <xf numFmtId="169" fontId="0" fillId="5" borderId="0" xfId="0" applyNumberFormat="1" applyFont="1" applyFill="1" applyBorder="1" applyAlignment="1">
      <alignment/>
    </xf>
    <xf numFmtId="1" fontId="0" fillId="5" borderId="0" xfId="0" applyNumberFormat="1" applyFont="1" applyFill="1"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5" xfId="0" applyFont="1" applyBorder="1" applyAlignment="1">
      <alignment/>
    </xf>
    <xf numFmtId="0" fontId="0" fillId="0" borderId="6" xfId="0" applyFont="1" applyBorder="1" applyAlignment="1">
      <alignment horizontal="left"/>
    </xf>
    <xf numFmtId="0" fontId="0" fillId="0" borderId="6" xfId="0" applyFont="1" applyBorder="1" applyAlignment="1">
      <alignment horizontal="right"/>
    </xf>
    <xf numFmtId="0" fontId="0" fillId="0" borderId="6" xfId="0" applyFont="1" applyBorder="1" applyAlignment="1">
      <alignment/>
    </xf>
    <xf numFmtId="0" fontId="0" fillId="0" borderId="0" xfId="0" applyFill="1" applyBorder="1" applyAlignment="1">
      <alignment horizontal="left"/>
    </xf>
    <xf numFmtId="0" fontId="0" fillId="2" borderId="0" xfId="0" applyNumberFormat="1" applyFill="1" applyBorder="1" applyAlignment="1">
      <alignment/>
    </xf>
    <xf numFmtId="0" fontId="0" fillId="0" borderId="5" xfId="0" applyFont="1" applyBorder="1" applyAlignment="1">
      <alignment horizontal="left"/>
    </xf>
    <xf numFmtId="0" fontId="0" fillId="0" borderId="7" xfId="0" applyFont="1" applyBorder="1" applyAlignment="1">
      <alignment/>
    </xf>
    <xf numFmtId="0" fontId="0" fillId="0" borderId="8" xfId="0" applyFont="1" applyBorder="1" applyAlignment="1">
      <alignment/>
    </xf>
    <xf numFmtId="0" fontId="0" fillId="0" borderId="8" xfId="0" applyFont="1" applyBorder="1" applyAlignment="1">
      <alignment horizontal="right"/>
    </xf>
    <xf numFmtId="0" fontId="0" fillId="0" borderId="8" xfId="0" applyFont="1" applyBorder="1" applyAlignment="1">
      <alignment horizontal="left"/>
    </xf>
    <xf numFmtId="0" fontId="0" fillId="0" borderId="9" xfId="0" applyFont="1" applyBorder="1" applyAlignment="1">
      <alignment horizontal="left"/>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vertical="center"/>
    </xf>
    <xf numFmtId="0" fontId="0" fillId="2" borderId="1" xfId="0" applyFill="1" applyBorder="1" applyAlignment="1">
      <alignment/>
    </xf>
    <xf numFmtId="0" fontId="0" fillId="0" borderId="1" xfId="0" applyBorder="1" applyAlignment="1">
      <alignment/>
    </xf>
    <xf numFmtId="0" fontId="0" fillId="3" borderId="1" xfId="0" applyFill="1" applyBorder="1" applyAlignment="1">
      <alignment/>
    </xf>
    <xf numFmtId="0" fontId="0" fillId="0" borderId="1" xfId="0" applyFill="1" applyBorder="1" applyAlignment="1">
      <alignment/>
    </xf>
    <xf numFmtId="0" fontId="0" fillId="6" borderId="1" xfId="0" applyFont="1" applyFill="1" applyBorder="1" applyAlignment="1">
      <alignment horizontal="right"/>
    </xf>
    <xf numFmtId="0" fontId="0" fillId="0" borderId="1" xfId="0" applyBorder="1" applyAlignment="1">
      <alignment horizontal="left"/>
    </xf>
    <xf numFmtId="0" fontId="0" fillId="0" borderId="1" xfId="0" applyBorder="1" applyAlignment="1">
      <alignment vertical="center"/>
    </xf>
    <xf numFmtId="0" fontId="0" fillId="0" borderId="1" xfId="0" applyFont="1" applyBorder="1" applyAlignment="1">
      <alignment vertical="center"/>
    </xf>
    <xf numFmtId="0" fontId="0" fillId="3" borderId="1" xfId="0" applyFill="1" applyBorder="1" applyAlignment="1">
      <alignment vertical="center"/>
    </xf>
    <xf numFmtId="0" fontId="0" fillId="2" borderId="1"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3" borderId="14" xfId="0" applyFill="1" applyBorder="1" applyAlignment="1">
      <alignment vertical="center"/>
    </xf>
    <xf numFmtId="0" fontId="3" fillId="0" borderId="0" xfId="0" applyFont="1" applyBorder="1" applyAlignment="1">
      <alignment/>
    </xf>
    <xf numFmtId="0" fontId="0" fillId="2" borderId="26" xfId="0" applyFill="1" applyBorder="1" applyAlignment="1">
      <alignment/>
    </xf>
    <xf numFmtId="0" fontId="0" fillId="0" borderId="26" xfId="0" applyBorder="1" applyAlignment="1">
      <alignment/>
    </xf>
    <xf numFmtId="0" fontId="0" fillId="0" borderId="1" xfId="0" applyFill="1" applyBorder="1" applyAlignment="1">
      <alignment/>
    </xf>
    <xf numFmtId="166" fontId="0" fillId="3" borderId="1" xfId="0" applyNumberFormat="1" applyFill="1" applyBorder="1" applyAlignment="1">
      <alignment/>
    </xf>
    <xf numFmtId="1" fontId="0" fillId="3" borderId="1" xfId="0" applyNumberFormat="1" applyFill="1" applyBorder="1" applyAlignment="1">
      <alignment/>
    </xf>
    <xf numFmtId="2" fontId="0" fillId="3" borderId="1" xfId="0" applyNumberFormat="1" applyFill="1" applyBorder="1" applyAlignment="1">
      <alignment/>
    </xf>
    <xf numFmtId="0" fontId="3" fillId="0" borderId="1" xfId="0" applyFont="1" applyBorder="1" applyAlignment="1">
      <alignment/>
    </xf>
    <xf numFmtId="167" fontId="0" fillId="3" borderId="1" xfId="0" applyNumberFormat="1" applyFill="1" applyBorder="1" applyAlignment="1">
      <alignment/>
    </xf>
    <xf numFmtId="0" fontId="0" fillId="0" borderId="1" xfId="0" applyFill="1" applyBorder="1" applyAlignment="1">
      <alignment horizontal="left"/>
    </xf>
    <xf numFmtId="0" fontId="0" fillId="8" borderId="1" xfId="0" applyFill="1" applyBorder="1" applyAlignment="1">
      <alignment horizontal="right"/>
    </xf>
    <xf numFmtId="2" fontId="0" fillId="3" borderId="1" xfId="0" applyNumberFormat="1" applyFill="1" applyBorder="1" applyAlignment="1">
      <alignment horizontal="right"/>
    </xf>
    <xf numFmtId="0" fontId="0" fillId="2" borderId="1" xfId="0" applyFill="1" applyBorder="1" applyAlignment="1">
      <alignment horizontal="right"/>
    </xf>
    <xf numFmtId="2" fontId="0" fillId="3" borderId="14" xfId="0" applyNumberFormat="1" applyFill="1" applyBorder="1" applyAlignment="1">
      <alignment horizontal="right"/>
    </xf>
    <xf numFmtId="0" fontId="0" fillId="0" borderId="14" xfId="0" applyFill="1" applyBorder="1" applyAlignment="1">
      <alignment horizontal="left"/>
    </xf>
    <xf numFmtId="0" fontId="0" fillId="0" borderId="8" xfId="0" applyBorder="1" applyAlignment="1">
      <alignment horizontal="right"/>
    </xf>
    <xf numFmtId="167" fontId="0" fillId="0" borderId="0" xfId="0" applyNumberFormat="1" applyFill="1" applyBorder="1" applyAlignment="1">
      <alignment/>
    </xf>
    <xf numFmtId="2" fontId="0" fillId="0" borderId="0" xfId="0" applyNumberFormat="1" applyFill="1" applyBorder="1" applyAlignment="1">
      <alignment horizontal="right"/>
    </xf>
    <xf numFmtId="169" fontId="0" fillId="3" borderId="1" xfId="0" applyNumberFormat="1" applyFill="1" applyBorder="1" applyAlignment="1">
      <alignment/>
    </xf>
    <xf numFmtId="0" fontId="3" fillId="0" borderId="27" xfId="0" applyFont="1" applyFill="1" applyBorder="1" applyAlignment="1">
      <alignment horizontal="center" wrapText="1"/>
    </xf>
    <xf numFmtId="168" fontId="0" fillId="3" borderId="1" xfId="0" applyNumberFormat="1" applyFill="1" applyBorder="1" applyAlignment="1">
      <alignment/>
    </xf>
    <xf numFmtId="0" fontId="0" fillId="0" borderId="28" xfId="0" applyBorder="1" applyAlignment="1">
      <alignment/>
    </xf>
    <xf numFmtId="0" fontId="0" fillId="2" borderId="28" xfId="0" applyFill="1" applyBorder="1" applyAlignment="1">
      <alignment/>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7" fontId="0" fillId="3" borderId="1" xfId="0" applyNumberFormat="1" applyFont="1" applyFill="1" applyBorder="1" applyAlignment="1">
      <alignment/>
    </xf>
    <xf numFmtId="2" fontId="0" fillId="3" borderId="8" xfId="0" applyNumberFormat="1" applyFill="1" applyBorder="1" applyAlignment="1">
      <alignment/>
    </xf>
    <xf numFmtId="0" fontId="0" fillId="0" borderId="16" xfId="0" applyFont="1" applyFill="1" applyBorder="1" applyAlignment="1">
      <alignment/>
    </xf>
    <xf numFmtId="0" fontId="0" fillId="0" borderId="16" xfId="0" applyBorder="1" applyAlignment="1">
      <alignment/>
    </xf>
    <xf numFmtId="0" fontId="3" fillId="4" borderId="29" xfId="0" applyFont="1" applyFill="1" applyBorder="1" applyAlignment="1">
      <alignment horizontal="center"/>
    </xf>
    <xf numFmtId="0" fontId="3" fillId="4" borderId="30" xfId="0" applyFont="1" applyFill="1" applyBorder="1" applyAlignment="1">
      <alignment horizontal="center"/>
    </xf>
    <xf numFmtId="0" fontId="0" fillId="2" borderId="31" xfId="0" applyFill="1" applyBorder="1" applyAlignment="1">
      <alignment horizontal="center"/>
    </xf>
    <xf numFmtId="0" fontId="3" fillId="4" borderId="32" xfId="0" applyFont="1" applyFill="1" applyBorder="1" applyAlignment="1">
      <alignment/>
    </xf>
    <xf numFmtId="2" fontId="0" fillId="0" borderId="32" xfId="0" applyNumberFormat="1" applyBorder="1" applyAlignment="1">
      <alignment/>
    </xf>
    <xf numFmtId="0" fontId="0" fillId="0" borderId="32" xfId="0" applyBorder="1" applyAlignment="1">
      <alignment/>
    </xf>
    <xf numFmtId="0" fontId="0" fillId="0" borderId="33" xfId="0" applyBorder="1" applyAlignment="1">
      <alignment/>
    </xf>
    <xf numFmtId="0" fontId="0" fillId="9" borderId="0" xfId="0" applyFont="1" applyFill="1" applyBorder="1" applyAlignment="1">
      <alignment horizontal="right"/>
    </xf>
    <xf numFmtId="1" fontId="0" fillId="9" borderId="0" xfId="0" applyNumberFormat="1" applyFont="1" applyFill="1" applyBorder="1" applyAlignment="1">
      <alignment horizontal="right"/>
    </xf>
    <xf numFmtId="0" fontId="0" fillId="10" borderId="0" xfId="0" applyFill="1" applyBorder="1" applyAlignment="1">
      <alignment/>
    </xf>
    <xf numFmtId="0" fontId="0" fillId="10" borderId="1" xfId="0" applyFont="1" applyFill="1" applyBorder="1" applyAlignment="1">
      <alignment/>
    </xf>
    <xf numFmtId="0" fontId="0" fillId="3" borderId="1" xfId="0" applyFont="1" applyFill="1" applyBorder="1" applyAlignment="1">
      <alignment/>
    </xf>
    <xf numFmtId="0" fontId="3" fillId="0" borderId="34" xfId="0" applyFont="1" applyFill="1" applyBorder="1" applyAlignment="1">
      <alignment horizontal="center" wrapText="1"/>
    </xf>
    <xf numFmtId="0" fontId="0" fillId="0" borderId="31" xfId="0" applyFill="1" applyBorder="1" applyAlignment="1">
      <alignment/>
    </xf>
    <xf numFmtId="165" fontId="0" fillId="0" borderId="32" xfId="0" applyNumberFormat="1" applyFont="1" applyFill="1" applyBorder="1" applyAlignment="1">
      <alignment/>
    </xf>
    <xf numFmtId="164" fontId="0" fillId="0" borderId="32" xfId="0" applyNumberFormat="1" applyFont="1" applyFill="1" applyBorder="1" applyAlignment="1">
      <alignment/>
    </xf>
    <xf numFmtId="169" fontId="0" fillId="0" borderId="32" xfId="0" applyNumberFormat="1" applyFill="1" applyBorder="1" applyAlignment="1">
      <alignment/>
    </xf>
    <xf numFmtId="0" fontId="0" fillId="0" borderId="33" xfId="0" applyFill="1" applyBorder="1" applyAlignment="1">
      <alignment/>
    </xf>
    <xf numFmtId="0" fontId="0" fillId="0" borderId="13" xfId="0" applyFill="1" applyBorder="1" applyAlignment="1">
      <alignment/>
    </xf>
    <xf numFmtId="169" fontId="0" fillId="0" borderId="1" xfId="0" applyNumberFormat="1" applyFont="1" applyFill="1" applyBorder="1" applyAlignment="1">
      <alignment/>
    </xf>
    <xf numFmtId="168" fontId="0" fillId="0" borderId="1" xfId="0" applyNumberFormat="1" applyFill="1" applyBorder="1" applyAlignment="1">
      <alignment/>
    </xf>
    <xf numFmtId="165" fontId="0" fillId="0" borderId="1" xfId="0" applyNumberFormat="1" applyFill="1" applyBorder="1" applyAlignment="1">
      <alignment/>
    </xf>
    <xf numFmtId="166" fontId="0" fillId="0" borderId="1" xfId="0" applyNumberFormat="1" applyFill="1" applyBorder="1" applyAlignment="1">
      <alignment/>
    </xf>
    <xf numFmtId="168" fontId="0" fillId="0" borderId="14" xfId="0" applyNumberFormat="1" applyFill="1" applyBorder="1" applyAlignment="1">
      <alignment/>
    </xf>
    <xf numFmtId="164" fontId="0" fillId="0" borderId="14" xfId="0" applyNumberFormat="1" applyFill="1" applyBorder="1" applyAlignment="1">
      <alignment/>
    </xf>
    <xf numFmtId="0" fontId="0" fillId="0" borderId="14" xfId="0" applyFill="1" applyBorder="1" applyAlignment="1">
      <alignment/>
    </xf>
    <xf numFmtId="0" fontId="0" fillId="0" borderId="15" xfId="0" applyFill="1" applyBorder="1" applyAlignment="1">
      <alignmen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2" fontId="0" fillId="0" borderId="8" xfId="0" applyNumberFormat="1" applyBorder="1" applyAlignment="1">
      <alignment/>
    </xf>
    <xf numFmtId="164" fontId="0" fillId="3" borderId="1" xfId="0" applyNumberFormat="1" applyFill="1" applyBorder="1" applyAlignment="1">
      <alignment/>
    </xf>
    <xf numFmtId="0" fontId="0" fillId="0" borderId="1" xfId="0" applyNumberFormat="1" applyBorder="1" applyAlignment="1">
      <alignment/>
    </xf>
    <xf numFmtId="0" fontId="0" fillId="0" borderId="35" xfId="0" applyBorder="1" applyAlignment="1">
      <alignment horizontal="left"/>
    </xf>
    <xf numFmtId="0" fontId="0" fillId="0" borderId="6" xfId="0" applyBorder="1" applyAlignment="1">
      <alignment horizontal="left"/>
    </xf>
    <xf numFmtId="164" fontId="0" fillId="0" borderId="0" xfId="0" applyNumberFormat="1" applyFill="1" applyBorder="1" applyAlignment="1">
      <alignment/>
    </xf>
    <xf numFmtId="2" fontId="0" fillId="0" borderId="0" xfId="0" applyNumberFormat="1" applyBorder="1" applyAlignment="1">
      <alignment/>
    </xf>
    <xf numFmtId="2" fontId="0" fillId="3" borderId="1" xfId="0" applyNumberFormat="1" applyFont="1" applyFill="1" applyBorder="1" applyAlignment="1">
      <alignment horizontal="right"/>
    </xf>
    <xf numFmtId="167" fontId="0" fillId="3" borderId="1" xfId="0" applyNumberFormat="1" applyFont="1" applyFill="1" applyBorder="1" applyAlignment="1">
      <alignment vertical="center"/>
    </xf>
    <xf numFmtId="2" fontId="0" fillId="8" borderId="1" xfId="0" applyNumberFormat="1" applyFill="1" applyBorder="1" applyAlignment="1">
      <alignment/>
    </xf>
    <xf numFmtId="2" fontId="0" fillId="3" borderId="1" xfId="0" applyNumberFormat="1" applyFill="1" applyBorder="1" applyAlignment="1">
      <alignment vertical="center"/>
    </xf>
    <xf numFmtId="0" fontId="0" fillId="0" borderId="6" xfId="0" applyFill="1" applyBorder="1" applyAlignment="1">
      <alignment vertical="center"/>
    </xf>
    <xf numFmtId="0" fontId="0" fillId="0" borderId="6" xfId="0" applyBorder="1" applyAlignment="1">
      <alignment vertical="center"/>
    </xf>
    <xf numFmtId="0" fontId="0" fillId="0" borderId="8" xfId="0" applyFont="1" applyBorder="1" applyAlignment="1">
      <alignment horizontal="center" vertical="center"/>
    </xf>
    <xf numFmtId="2" fontId="0" fillId="3" borderId="1" xfId="0" applyNumberFormat="1" applyFill="1" applyBorder="1" applyAlignment="1">
      <alignment/>
    </xf>
    <xf numFmtId="0" fontId="0" fillId="0" borderId="36" xfId="0" applyBorder="1" applyAlignment="1">
      <alignment/>
    </xf>
    <xf numFmtId="0" fontId="0" fillId="0" borderId="0" xfId="0" applyFill="1" applyBorder="1" applyAlignment="1">
      <alignment wrapText="1"/>
    </xf>
    <xf numFmtId="0" fontId="0" fillId="0" borderId="5" xfId="0" applyFill="1" applyBorder="1" applyAlignment="1">
      <alignment wrapText="1"/>
    </xf>
    <xf numFmtId="0" fontId="0" fillId="3" borderId="37" xfId="0" applyFill="1" applyBorder="1" applyAlignment="1">
      <alignment/>
    </xf>
    <xf numFmtId="0" fontId="0" fillId="0" borderId="2" xfId="0" applyFill="1" applyBorder="1" applyAlignment="1">
      <alignment wrapText="1"/>
    </xf>
    <xf numFmtId="0" fontId="0" fillId="0" borderId="3" xfId="0" applyFill="1" applyBorder="1" applyAlignment="1">
      <alignment wrapText="1"/>
    </xf>
    <xf numFmtId="0" fontId="0" fillId="0" borderId="3" xfId="0" applyBorder="1" applyAlignment="1">
      <alignment/>
    </xf>
    <xf numFmtId="0" fontId="0" fillId="0" borderId="8" xfId="0" applyBorder="1" applyAlignment="1">
      <alignment/>
    </xf>
    <xf numFmtId="2" fontId="0" fillId="3" borderId="0" xfId="0" applyNumberFormat="1" applyFont="1" applyFill="1" applyBorder="1" applyAlignment="1">
      <alignment horizontal="right"/>
    </xf>
    <xf numFmtId="1" fontId="0" fillId="3" borderId="0" xfId="0" applyNumberFormat="1" applyFill="1" applyBorder="1" applyAlignment="1">
      <alignment horizontal="right"/>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6" xfId="0" applyBorder="1" applyAlignment="1">
      <alignment/>
    </xf>
    <xf numFmtId="0" fontId="0" fillId="0" borderId="1" xfId="0" applyFill="1" applyBorder="1" applyAlignment="1">
      <alignment horizontal="left"/>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0" borderId="1" xfId="0" applyFill="1" applyBorder="1" applyAlignment="1">
      <alignment horizontal="left" wrapText="1"/>
    </xf>
    <xf numFmtId="0" fontId="0" fillId="4" borderId="6" xfId="0" applyFill="1" applyBorder="1" applyAlignment="1">
      <alignment horizontal="center" vertical="center" wrapText="1"/>
    </xf>
    <xf numFmtId="0" fontId="0" fillId="0" borderId="3" xfId="0" applyFont="1" applyFill="1" applyBorder="1" applyAlignment="1">
      <alignment/>
    </xf>
    <xf numFmtId="0" fontId="0" fillId="0" borderId="9" xfId="0" applyFont="1" applyBorder="1" applyAlignment="1">
      <alignment/>
    </xf>
    <xf numFmtId="0" fontId="0" fillId="8" borderId="1" xfId="0" applyFill="1" applyBorder="1" applyAlignment="1">
      <alignment horizontal="center"/>
    </xf>
    <xf numFmtId="0" fontId="0" fillId="8" borderId="13" xfId="0" applyFill="1" applyBorder="1" applyAlignment="1">
      <alignment horizontal="center"/>
    </xf>
    <xf numFmtId="0" fontId="3" fillId="4" borderId="12"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0" fillId="4" borderId="2" xfId="0" applyNumberFormat="1" applyFill="1" applyBorder="1" applyAlignment="1">
      <alignment horizontal="center" vertical="center" wrapText="1"/>
    </xf>
    <xf numFmtId="0" fontId="0" fillId="4" borderId="3" xfId="0" applyNumberFormat="1" applyFill="1" applyBorder="1" applyAlignment="1">
      <alignment horizontal="center" vertical="center" wrapText="1"/>
    </xf>
    <xf numFmtId="0" fontId="0" fillId="4" borderId="4" xfId="0" applyNumberFormat="1" applyFill="1" applyBorder="1" applyAlignment="1">
      <alignment horizontal="center" vertical="center" wrapText="1"/>
    </xf>
    <xf numFmtId="0" fontId="0" fillId="4" borderId="5" xfId="0" applyNumberFormat="1" applyFill="1" applyBorder="1" applyAlignment="1">
      <alignment horizontal="center" vertical="center" wrapText="1"/>
    </xf>
    <xf numFmtId="0" fontId="0" fillId="4" borderId="0"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center" vertical="center" wrapText="1"/>
    </xf>
    <xf numFmtId="0" fontId="0" fillId="4" borderId="8" xfId="0" applyNumberFormat="1" applyFill="1" applyBorder="1" applyAlignment="1">
      <alignment horizontal="center" vertical="center" wrapText="1"/>
    </xf>
    <xf numFmtId="0" fontId="0" fillId="4" borderId="9" xfId="0" applyNumberFormat="1" applyFill="1" applyBorder="1" applyAlignment="1">
      <alignment horizontal="center" vertical="center" wrapText="1"/>
    </xf>
    <xf numFmtId="0" fontId="0" fillId="0" borderId="1" xfId="0" applyBorder="1" applyAlignment="1">
      <alignment horizontal="left"/>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0" borderId="13" xfId="0" applyFill="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13" xfId="0" applyBorder="1" applyAlignment="1">
      <alignment horizontal="left"/>
    </xf>
    <xf numFmtId="0" fontId="0" fillId="0" borderId="16" xfId="0" applyBorder="1" applyAlignment="1">
      <alignment horizontal="center"/>
    </xf>
    <xf numFmtId="0" fontId="0" fillId="0" borderId="13" xfId="0" applyBorder="1" applyAlignment="1">
      <alignment horizontal="center"/>
    </xf>
    <xf numFmtId="0" fontId="0" fillId="10" borderId="16" xfId="0" applyFill="1" applyBorder="1" applyAlignment="1">
      <alignment horizontal="center"/>
    </xf>
    <xf numFmtId="0" fontId="0" fillId="10" borderId="13"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16" xfId="0" applyFill="1" applyBorder="1" applyAlignment="1">
      <alignment horizontal="center"/>
    </xf>
    <xf numFmtId="0" fontId="0" fillId="2" borderId="13" xfId="0" applyFill="1" applyBorder="1" applyAlignment="1">
      <alignment horizontal="center"/>
    </xf>
    <xf numFmtId="0" fontId="0" fillId="0" borderId="3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3" fillId="7" borderId="42" xfId="0" applyFont="1" applyFill="1" applyBorder="1" applyAlignment="1">
      <alignment horizontal="center"/>
    </xf>
    <xf numFmtId="0" fontId="3" fillId="7" borderId="43" xfId="0" applyFont="1" applyFill="1" applyBorder="1" applyAlignment="1">
      <alignment horizontal="center"/>
    </xf>
    <xf numFmtId="0" fontId="3" fillId="7" borderId="44" xfId="0" applyFont="1" applyFill="1" applyBorder="1" applyAlignment="1">
      <alignment horizontal="center"/>
    </xf>
    <xf numFmtId="0" fontId="3" fillId="4" borderId="12" xfId="0" applyFont="1" applyFill="1" applyBorder="1" applyAlignment="1">
      <alignment horizontal="left"/>
    </xf>
    <xf numFmtId="0" fontId="3" fillId="4" borderId="10" xfId="0" applyFont="1" applyFill="1" applyBorder="1" applyAlignment="1">
      <alignment horizontal="left"/>
    </xf>
    <xf numFmtId="0" fontId="3" fillId="4" borderId="11"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3" fillId="7" borderId="45" xfId="0" applyFont="1" applyFill="1" applyBorder="1" applyAlignment="1">
      <alignment horizontal="left"/>
    </xf>
    <xf numFmtId="0" fontId="3" fillId="7" borderId="46" xfId="0" applyFont="1" applyFill="1" applyBorder="1" applyAlignment="1">
      <alignment horizontal="left"/>
    </xf>
    <xf numFmtId="0" fontId="3" fillId="7" borderId="47" xfId="0" applyFont="1" applyFill="1" applyBorder="1" applyAlignment="1">
      <alignment horizontal="left"/>
    </xf>
    <xf numFmtId="0" fontId="0" fillId="0" borderId="48" xfId="0" applyFont="1" applyBorder="1" applyAlignment="1">
      <alignment horizontal="left" vertical="center"/>
    </xf>
    <xf numFmtId="0" fontId="0" fillId="0" borderId="37" xfId="0" applyFont="1" applyBorder="1" applyAlignment="1">
      <alignment horizontal="left" vertical="center"/>
    </xf>
    <xf numFmtId="0" fontId="0" fillId="0" borderId="48" xfId="0" applyBorder="1" applyAlignment="1">
      <alignment horizontal="left"/>
    </xf>
    <xf numFmtId="0" fontId="0" fillId="0" borderId="37" xfId="0" applyBorder="1" applyAlignment="1">
      <alignment horizontal="left"/>
    </xf>
    <xf numFmtId="0" fontId="0" fillId="0" borderId="0" xfId="0" applyFill="1" applyBorder="1" applyAlignment="1">
      <alignment horizontal="right"/>
    </xf>
    <xf numFmtId="0" fontId="0" fillId="0" borderId="40" xfId="0" applyFont="1" applyBorder="1" applyAlignment="1">
      <alignment horizontal="center" vertical="center"/>
    </xf>
    <xf numFmtId="0" fontId="0" fillId="0" borderId="49" xfId="0" applyFont="1" applyBorder="1" applyAlignment="1">
      <alignment horizontal="center" vertical="center"/>
    </xf>
    <xf numFmtId="0" fontId="0" fillId="0" borderId="16" xfId="0" applyFont="1" applyBorder="1" applyAlignment="1">
      <alignment horizontal="left" vertical="center"/>
    </xf>
    <xf numFmtId="0" fontId="0" fillId="0" borderId="1" xfId="0" applyFont="1" applyBorder="1" applyAlignment="1">
      <alignment horizontal="left" vertical="center"/>
    </xf>
    <xf numFmtId="0" fontId="0" fillId="8" borderId="16" xfId="0" applyFill="1" applyBorder="1" applyAlignment="1">
      <alignment horizontal="center"/>
    </xf>
    <xf numFmtId="0" fontId="0" fillId="8" borderId="2" xfId="0" applyNumberFormat="1" applyFont="1" applyFill="1" applyBorder="1" applyAlignment="1">
      <alignment horizontal="center" vertical="center" wrapText="1"/>
    </xf>
    <xf numFmtId="0" fontId="0" fillId="8" borderId="4" xfId="0" applyNumberFormat="1" applyFont="1" applyFill="1" applyBorder="1" applyAlignment="1">
      <alignment horizontal="center" vertical="center" wrapText="1"/>
    </xf>
    <xf numFmtId="0" fontId="0" fillId="8" borderId="5" xfId="0" applyNumberFormat="1" applyFont="1" applyFill="1" applyBorder="1" applyAlignment="1">
      <alignment horizontal="center" vertical="center" wrapText="1"/>
    </xf>
    <xf numFmtId="0" fontId="0" fillId="8" borderId="6" xfId="0" applyNumberFormat="1" applyFont="1" applyFill="1" applyBorder="1" applyAlignment="1">
      <alignment horizontal="center" vertical="center" wrapText="1"/>
    </xf>
    <xf numFmtId="0" fontId="0" fillId="8" borderId="7" xfId="0" applyNumberFormat="1" applyFont="1" applyFill="1" applyBorder="1" applyAlignment="1">
      <alignment horizontal="center" vertical="center" wrapText="1"/>
    </xf>
    <xf numFmtId="0" fontId="0" fillId="8" borderId="9" xfId="0" applyNumberFormat="1"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4" xfId="0" applyBorder="1" applyAlignment="1">
      <alignment horizontal="left"/>
    </xf>
    <xf numFmtId="0" fontId="0" fillId="0" borderId="50" xfId="0" applyBorder="1" applyAlignment="1">
      <alignment horizontal="left"/>
    </xf>
    <xf numFmtId="0" fontId="0" fillId="0" borderId="26" xfId="0" applyBorder="1" applyAlignment="1">
      <alignment horizontal="left"/>
    </xf>
    <xf numFmtId="0" fontId="0" fillId="0" borderId="16" xfId="0" applyFont="1" applyBorder="1" applyAlignment="1">
      <alignment horizontal="left"/>
    </xf>
    <xf numFmtId="0" fontId="0" fillId="0" borderId="1" xfId="0" applyFont="1" applyBorder="1" applyAlignment="1">
      <alignment horizontal="left"/>
    </xf>
    <xf numFmtId="0" fontId="0" fillId="0" borderId="17" xfId="0" applyBorder="1" applyAlignment="1">
      <alignment horizontal="center"/>
    </xf>
    <xf numFmtId="0" fontId="0" fillId="0" borderId="15" xfId="0"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0" fillId="0" borderId="51" xfId="0" applyBorder="1" applyAlignment="1">
      <alignment horizontal="center"/>
    </xf>
    <xf numFmtId="0" fontId="14" fillId="0" borderId="52" xfId="0" applyFont="1" applyBorder="1" applyAlignment="1">
      <alignment horizontal="center" wrapText="1"/>
    </xf>
    <xf numFmtId="0" fontId="14" fillId="0" borderId="53" xfId="0" applyFont="1" applyBorder="1" applyAlignment="1">
      <alignment horizontal="center" wrapText="1"/>
    </xf>
    <xf numFmtId="0" fontId="14" fillId="0" borderId="54" xfId="0" applyFont="1" applyBorder="1" applyAlignment="1">
      <alignment horizontal="center" wrapText="1"/>
    </xf>
    <xf numFmtId="0" fontId="14" fillId="0" borderId="35" xfId="0" applyFont="1" applyBorder="1" applyAlignment="1">
      <alignment horizontal="center" wrapText="1"/>
    </xf>
    <xf numFmtId="0" fontId="14" fillId="0" borderId="0" xfId="0" applyFont="1" applyBorder="1" applyAlignment="1">
      <alignment horizontal="center" wrapText="1"/>
    </xf>
    <xf numFmtId="0" fontId="14" fillId="0" borderId="55" xfId="0" applyFont="1" applyBorder="1" applyAlignment="1">
      <alignment horizontal="center" wrapText="1"/>
    </xf>
    <xf numFmtId="0" fontId="15" fillId="11" borderId="56" xfId="0" applyFont="1" applyFill="1" applyBorder="1" applyAlignment="1">
      <alignment horizontal="center"/>
    </xf>
    <xf numFmtId="0" fontId="15" fillId="11" borderId="57" xfId="0" applyFont="1" applyFill="1" applyBorder="1" applyAlignment="1">
      <alignment horizontal="center"/>
    </xf>
    <xf numFmtId="0" fontId="15" fillId="11" borderId="58" xfId="0" applyFont="1" applyFill="1" applyBorder="1" applyAlignment="1">
      <alignment horizontal="center"/>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wmf" /></Relationships>
</file>

<file path=xl/drawings/_rels/drawing2.xml.rels><?xml version="1.0" encoding="utf-8" standalone="yes"?><Relationships xmlns="http://schemas.openxmlformats.org/package/2006/relationships"><Relationship Id="rId1" Type="http://schemas.openxmlformats.org/officeDocument/2006/relationships/image" Target="../media/image37.wmf" /><Relationship Id="rId2" Type="http://schemas.openxmlformats.org/officeDocument/2006/relationships/image" Target="../media/image3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9.emf" /><Relationship Id="rId3" Type="http://schemas.openxmlformats.org/officeDocument/2006/relationships/image" Target="../media/image30.emf" /><Relationship Id="rId4" Type="http://schemas.openxmlformats.org/officeDocument/2006/relationships/image" Target="../media/image31.emf" /><Relationship Id="rId5" Type="http://schemas.openxmlformats.org/officeDocument/2006/relationships/image" Target="../media/image32.emf" /><Relationship Id="rId6" Type="http://schemas.openxmlformats.org/officeDocument/2006/relationships/image" Target="../media/image33.emf" /><Relationship Id="rId7" Type="http://schemas.openxmlformats.org/officeDocument/2006/relationships/image" Target="../media/image36.emf" /></Relationships>
</file>

<file path=xl/drawings/_rels/drawing5.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9.emf" /><Relationship Id="rId3" Type="http://schemas.openxmlformats.org/officeDocument/2006/relationships/image" Target="../media/image30.emf" /><Relationship Id="rId4" Type="http://schemas.openxmlformats.org/officeDocument/2006/relationships/image" Target="../media/image31.emf" /><Relationship Id="rId5" Type="http://schemas.openxmlformats.org/officeDocument/2006/relationships/image" Target="../media/image32.emf" /><Relationship Id="rId6" Type="http://schemas.openxmlformats.org/officeDocument/2006/relationships/image" Target="../media/image33.emf" /><Relationship Id="rId7" Type="http://schemas.openxmlformats.org/officeDocument/2006/relationships/image" Target="../media/image36.emf" /><Relationship Id="rId8" Type="http://schemas.openxmlformats.org/officeDocument/2006/relationships/image" Target="../media/image8.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35.emf" /><Relationship Id="rId3" Type="http://schemas.openxmlformats.org/officeDocument/2006/relationships/image" Target="../media/image9.wmf" /><Relationship Id="rId4" Type="http://schemas.openxmlformats.org/officeDocument/2006/relationships/image" Target="../media/image10.wmf" /><Relationship Id="rId5" Type="http://schemas.openxmlformats.org/officeDocument/2006/relationships/image" Target="../media/image11.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27.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5.emf" /><Relationship Id="rId8"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3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19.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0.wmf" /><Relationship Id="rId2" Type="http://schemas.openxmlformats.org/officeDocument/2006/relationships/image" Target="../media/image21.wmf" /><Relationship Id="rId3" Type="http://schemas.openxmlformats.org/officeDocument/2006/relationships/image" Target="../media/image22.emf" /><Relationship Id="rId4" Type="http://schemas.openxmlformats.org/officeDocument/2006/relationships/image" Target="../media/image23.emf" /><Relationship Id="rId5" Type="http://schemas.openxmlformats.org/officeDocument/2006/relationships/image" Target="../media/image24.emf" /><Relationship Id="rId6" Type="http://schemas.openxmlformats.org/officeDocument/2006/relationships/image" Target="../media/image25.emf" /><Relationship Id="rId7"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9</xdr:row>
      <xdr:rowOff>9525</xdr:rowOff>
    </xdr:from>
    <xdr:to>
      <xdr:col>10</xdr:col>
      <xdr:colOff>457200</xdr:colOff>
      <xdr:row>27</xdr:row>
      <xdr:rowOff>57150</xdr:rowOff>
    </xdr:to>
    <xdr:pic>
      <xdr:nvPicPr>
        <xdr:cNvPr id="1" name="Picture 2"/>
        <xdr:cNvPicPr preferRelativeResize="1">
          <a:picLocks noChangeAspect="1"/>
        </xdr:cNvPicPr>
      </xdr:nvPicPr>
      <xdr:blipFill>
        <a:blip r:embed="rId1"/>
        <a:stretch>
          <a:fillRect/>
        </a:stretch>
      </xdr:blipFill>
      <xdr:spPr>
        <a:xfrm>
          <a:off x="4438650" y="1485900"/>
          <a:ext cx="2114550" cy="2981325"/>
        </a:xfrm>
        <a:prstGeom prst="rect">
          <a:avLst/>
        </a:prstGeom>
        <a:solidFill>
          <a:srgbClr val="000000"/>
        </a:solidFill>
        <a:ln w="9525" cmpd="sng">
          <a:solidFill>
            <a:srgbClr val="000000"/>
          </a:solidFill>
          <a:headEnd type="none"/>
          <a:tailEnd type="none"/>
        </a:ln>
      </xdr:spPr>
    </xdr:pic>
    <xdr:clientData/>
  </xdr:twoCellAnchor>
  <xdr:twoCellAnchor>
    <xdr:from>
      <xdr:col>12</xdr:col>
      <xdr:colOff>0</xdr:colOff>
      <xdr:row>21</xdr:row>
      <xdr:rowOff>0</xdr:rowOff>
    </xdr:from>
    <xdr:to>
      <xdr:col>16</xdr:col>
      <xdr:colOff>600075</xdr:colOff>
      <xdr:row>27</xdr:row>
      <xdr:rowOff>38100</xdr:rowOff>
    </xdr:to>
    <xdr:pic>
      <xdr:nvPicPr>
        <xdr:cNvPr id="2" name="Picture 3"/>
        <xdr:cNvPicPr preferRelativeResize="1">
          <a:picLocks noChangeAspect="1"/>
        </xdr:cNvPicPr>
      </xdr:nvPicPr>
      <xdr:blipFill>
        <a:blip r:embed="rId2"/>
        <a:stretch>
          <a:fillRect/>
        </a:stretch>
      </xdr:blipFill>
      <xdr:spPr>
        <a:xfrm>
          <a:off x="7315200" y="3438525"/>
          <a:ext cx="3305175" cy="1009650"/>
        </a:xfrm>
        <a:prstGeom prst="rect">
          <a:avLst/>
        </a:prstGeom>
        <a:solidFill>
          <a:srgbClr val="000000"/>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0</xdr:row>
      <xdr:rowOff>0</xdr:rowOff>
    </xdr:from>
    <xdr:to>
      <xdr:col>11</xdr:col>
      <xdr:colOff>561975</xdr:colOff>
      <xdr:row>0</xdr:row>
      <xdr:rowOff>0</xdr:rowOff>
    </xdr:to>
    <xdr:pic>
      <xdr:nvPicPr>
        <xdr:cNvPr id="1" name="Picture 11"/>
        <xdr:cNvPicPr preferRelativeResize="1">
          <a:picLocks noChangeAspect="1"/>
        </xdr:cNvPicPr>
      </xdr:nvPicPr>
      <xdr:blipFill>
        <a:blip r:embed="rId1"/>
        <a:stretch>
          <a:fillRect/>
        </a:stretch>
      </xdr:blipFill>
      <xdr:spPr>
        <a:xfrm>
          <a:off x="6896100" y="0"/>
          <a:ext cx="1838325" cy="0"/>
        </a:xfrm>
        <a:prstGeom prst="rect">
          <a:avLst/>
        </a:prstGeom>
        <a:noFill/>
        <a:ln w="9525" cmpd="sng">
          <a:noFill/>
        </a:ln>
      </xdr:spPr>
    </xdr:pic>
    <xdr:clientData/>
  </xdr:twoCellAnchor>
  <xdr:twoCellAnchor>
    <xdr:from>
      <xdr:col>8</xdr:col>
      <xdr:colOff>219075</xdr:colOff>
      <xdr:row>0</xdr:row>
      <xdr:rowOff>0</xdr:rowOff>
    </xdr:from>
    <xdr:to>
      <xdr:col>11</xdr:col>
      <xdr:colOff>542925</xdr:colOff>
      <xdr:row>0</xdr:row>
      <xdr:rowOff>0</xdr:rowOff>
    </xdr:to>
    <xdr:pic>
      <xdr:nvPicPr>
        <xdr:cNvPr id="2" name="Picture 12"/>
        <xdr:cNvPicPr preferRelativeResize="1">
          <a:picLocks noChangeAspect="1"/>
        </xdr:cNvPicPr>
      </xdr:nvPicPr>
      <xdr:blipFill>
        <a:blip r:embed="rId2"/>
        <a:stretch>
          <a:fillRect/>
        </a:stretch>
      </xdr:blipFill>
      <xdr:spPr>
        <a:xfrm>
          <a:off x="6562725" y="0"/>
          <a:ext cx="21526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13</xdr:row>
      <xdr:rowOff>123825</xdr:rowOff>
    </xdr:from>
    <xdr:to>
      <xdr:col>12</xdr:col>
      <xdr:colOff>114300</xdr:colOff>
      <xdr:row>15</xdr:row>
      <xdr:rowOff>57150</xdr:rowOff>
    </xdr:to>
    <xdr:pic>
      <xdr:nvPicPr>
        <xdr:cNvPr id="1" name="Picture 12"/>
        <xdr:cNvPicPr preferRelativeResize="1">
          <a:picLocks noChangeAspect="1"/>
        </xdr:cNvPicPr>
      </xdr:nvPicPr>
      <xdr:blipFill>
        <a:blip r:embed="rId1"/>
        <a:stretch>
          <a:fillRect/>
        </a:stretch>
      </xdr:blipFill>
      <xdr:spPr>
        <a:xfrm>
          <a:off x="7629525" y="2247900"/>
          <a:ext cx="1323975" cy="257175"/>
        </a:xfrm>
        <a:prstGeom prst="rect">
          <a:avLst/>
        </a:prstGeom>
        <a:solidFill>
          <a:srgbClr val="FFFFFF"/>
        </a:solidFill>
        <a:ln w="9525" cmpd="sng">
          <a:solidFill>
            <a:srgbClr val="000000"/>
          </a:solidFill>
          <a:headEnd type="none"/>
          <a:tailEnd type="none"/>
        </a:ln>
      </xdr:spPr>
    </xdr:pic>
    <xdr:clientData/>
  </xdr:twoCellAnchor>
  <xdr:twoCellAnchor>
    <xdr:from>
      <xdr:col>10</xdr:col>
      <xdr:colOff>9525</xdr:colOff>
      <xdr:row>6</xdr:row>
      <xdr:rowOff>76200</xdr:rowOff>
    </xdr:from>
    <xdr:to>
      <xdr:col>11</xdr:col>
      <xdr:colOff>419100</xdr:colOff>
      <xdr:row>8</xdr:row>
      <xdr:rowOff>123825</xdr:rowOff>
    </xdr:to>
    <xdr:pic>
      <xdr:nvPicPr>
        <xdr:cNvPr id="2" name="Picture 13"/>
        <xdr:cNvPicPr preferRelativeResize="1">
          <a:picLocks noChangeAspect="1"/>
        </xdr:cNvPicPr>
      </xdr:nvPicPr>
      <xdr:blipFill>
        <a:blip r:embed="rId2"/>
        <a:stretch>
          <a:fillRect/>
        </a:stretch>
      </xdr:blipFill>
      <xdr:spPr>
        <a:xfrm>
          <a:off x="7629525" y="1066800"/>
          <a:ext cx="1019175" cy="371475"/>
        </a:xfrm>
        <a:prstGeom prst="rect">
          <a:avLst/>
        </a:prstGeom>
        <a:solidFill>
          <a:srgbClr val="FFFFFF"/>
        </a:solidFill>
        <a:ln w="9525" cmpd="sng">
          <a:solidFill>
            <a:srgbClr val="000000"/>
          </a:solidFill>
          <a:headEnd type="none"/>
          <a:tailEnd type="none"/>
        </a:ln>
      </xdr:spPr>
    </xdr:pic>
    <xdr:clientData/>
  </xdr:twoCellAnchor>
  <xdr:twoCellAnchor>
    <xdr:from>
      <xdr:col>10</xdr:col>
      <xdr:colOff>9525</xdr:colOff>
      <xdr:row>16</xdr:row>
      <xdr:rowOff>76200</xdr:rowOff>
    </xdr:from>
    <xdr:to>
      <xdr:col>11</xdr:col>
      <xdr:colOff>476250</xdr:colOff>
      <xdr:row>19</xdr:row>
      <xdr:rowOff>0</xdr:rowOff>
    </xdr:to>
    <xdr:pic>
      <xdr:nvPicPr>
        <xdr:cNvPr id="3" name="Picture 14"/>
        <xdr:cNvPicPr preferRelativeResize="1">
          <a:picLocks noChangeAspect="1"/>
        </xdr:cNvPicPr>
      </xdr:nvPicPr>
      <xdr:blipFill>
        <a:blip r:embed="rId3"/>
        <a:stretch>
          <a:fillRect/>
        </a:stretch>
      </xdr:blipFill>
      <xdr:spPr>
        <a:xfrm>
          <a:off x="7629525" y="2686050"/>
          <a:ext cx="1076325" cy="409575"/>
        </a:xfrm>
        <a:prstGeom prst="rect">
          <a:avLst/>
        </a:prstGeom>
        <a:solidFill>
          <a:srgbClr val="FFFFFF"/>
        </a:solidFill>
        <a:ln w="9525" cmpd="sng">
          <a:solidFill>
            <a:srgbClr val="000000"/>
          </a:solidFill>
          <a:headEnd type="none"/>
          <a:tailEnd type="none"/>
        </a:ln>
      </xdr:spPr>
    </xdr:pic>
    <xdr:clientData/>
  </xdr:twoCellAnchor>
  <xdr:twoCellAnchor>
    <xdr:from>
      <xdr:col>10</xdr:col>
      <xdr:colOff>9525</xdr:colOff>
      <xdr:row>19</xdr:row>
      <xdr:rowOff>142875</xdr:rowOff>
    </xdr:from>
    <xdr:to>
      <xdr:col>11</xdr:col>
      <xdr:colOff>152400</xdr:colOff>
      <xdr:row>21</xdr:row>
      <xdr:rowOff>57150</xdr:rowOff>
    </xdr:to>
    <xdr:pic>
      <xdr:nvPicPr>
        <xdr:cNvPr id="4" name="Picture 15"/>
        <xdr:cNvPicPr preferRelativeResize="1">
          <a:picLocks noChangeAspect="1"/>
        </xdr:cNvPicPr>
      </xdr:nvPicPr>
      <xdr:blipFill>
        <a:blip r:embed="rId4"/>
        <a:stretch>
          <a:fillRect/>
        </a:stretch>
      </xdr:blipFill>
      <xdr:spPr>
        <a:xfrm>
          <a:off x="7629525" y="3238500"/>
          <a:ext cx="752475" cy="238125"/>
        </a:xfrm>
        <a:prstGeom prst="rect">
          <a:avLst/>
        </a:prstGeom>
        <a:solidFill>
          <a:srgbClr val="FFFFFF"/>
        </a:solidFill>
        <a:ln w="9525" cmpd="sng">
          <a:solidFill>
            <a:srgbClr val="000000"/>
          </a:solidFill>
          <a:headEnd type="none"/>
          <a:tailEnd type="none"/>
        </a:ln>
      </xdr:spPr>
    </xdr:pic>
    <xdr:clientData/>
  </xdr:twoCellAnchor>
  <xdr:twoCellAnchor>
    <xdr:from>
      <xdr:col>10</xdr:col>
      <xdr:colOff>9525</xdr:colOff>
      <xdr:row>9</xdr:row>
      <xdr:rowOff>66675</xdr:rowOff>
    </xdr:from>
    <xdr:to>
      <xdr:col>11</xdr:col>
      <xdr:colOff>419100</xdr:colOff>
      <xdr:row>11</xdr:row>
      <xdr:rowOff>114300</xdr:rowOff>
    </xdr:to>
    <xdr:pic>
      <xdr:nvPicPr>
        <xdr:cNvPr id="5" name="Picture 16"/>
        <xdr:cNvPicPr preferRelativeResize="1">
          <a:picLocks noChangeAspect="1"/>
        </xdr:cNvPicPr>
      </xdr:nvPicPr>
      <xdr:blipFill>
        <a:blip r:embed="rId5"/>
        <a:stretch>
          <a:fillRect/>
        </a:stretch>
      </xdr:blipFill>
      <xdr:spPr>
        <a:xfrm>
          <a:off x="7629525" y="1543050"/>
          <a:ext cx="1019175" cy="371475"/>
        </a:xfrm>
        <a:prstGeom prst="rect">
          <a:avLst/>
        </a:prstGeom>
        <a:solidFill>
          <a:srgbClr val="FFFFFF"/>
        </a:solidFill>
        <a:ln w="9525" cmpd="sng">
          <a:solidFill>
            <a:srgbClr val="000000"/>
          </a:solidFill>
          <a:headEnd type="none"/>
          <a:tailEnd type="none"/>
        </a:ln>
      </xdr:spPr>
    </xdr:pic>
    <xdr:clientData/>
  </xdr:twoCellAnchor>
  <xdr:twoCellAnchor>
    <xdr:from>
      <xdr:col>4</xdr:col>
      <xdr:colOff>9525</xdr:colOff>
      <xdr:row>12</xdr:row>
      <xdr:rowOff>38100</xdr:rowOff>
    </xdr:from>
    <xdr:to>
      <xdr:col>4</xdr:col>
      <xdr:colOff>571500</xdr:colOff>
      <xdr:row>14</xdr:row>
      <xdr:rowOff>133350</xdr:rowOff>
    </xdr:to>
    <xdr:pic>
      <xdr:nvPicPr>
        <xdr:cNvPr id="6" name="Picture 17"/>
        <xdr:cNvPicPr preferRelativeResize="1">
          <a:picLocks noChangeAspect="1"/>
        </xdr:cNvPicPr>
      </xdr:nvPicPr>
      <xdr:blipFill>
        <a:blip r:embed="rId6"/>
        <a:stretch>
          <a:fillRect/>
        </a:stretch>
      </xdr:blipFill>
      <xdr:spPr>
        <a:xfrm>
          <a:off x="3362325" y="2000250"/>
          <a:ext cx="561975" cy="419100"/>
        </a:xfrm>
        <a:prstGeom prst="rect">
          <a:avLst/>
        </a:prstGeom>
        <a:solidFill>
          <a:srgbClr val="FFFFFF"/>
        </a:solidFill>
        <a:ln w="9525" cmpd="sng">
          <a:solidFill>
            <a:srgbClr val="000000"/>
          </a:solidFill>
          <a:headEnd type="none"/>
          <a:tailEnd type="none"/>
        </a:ln>
      </xdr:spPr>
    </xdr:pic>
    <xdr:clientData/>
  </xdr:twoCellAnchor>
  <xdr:twoCellAnchor>
    <xdr:from>
      <xdr:col>5</xdr:col>
      <xdr:colOff>123825</xdr:colOff>
      <xdr:row>26</xdr:row>
      <xdr:rowOff>9525</xdr:rowOff>
    </xdr:from>
    <xdr:to>
      <xdr:col>9</xdr:col>
      <xdr:colOff>257175</xdr:colOff>
      <xdr:row>28</xdr:row>
      <xdr:rowOff>142875</xdr:rowOff>
    </xdr:to>
    <xdr:pic>
      <xdr:nvPicPr>
        <xdr:cNvPr id="7" name="Picture 20"/>
        <xdr:cNvPicPr preferRelativeResize="1">
          <a:picLocks noChangeAspect="1"/>
        </xdr:cNvPicPr>
      </xdr:nvPicPr>
      <xdr:blipFill>
        <a:blip r:embed="rId7"/>
        <a:stretch>
          <a:fillRect/>
        </a:stretch>
      </xdr:blipFill>
      <xdr:spPr>
        <a:xfrm>
          <a:off x="4086225" y="4238625"/>
          <a:ext cx="3400425" cy="457200"/>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19</xdr:row>
      <xdr:rowOff>85725</xdr:rowOff>
    </xdr:from>
    <xdr:to>
      <xdr:col>7</xdr:col>
      <xdr:colOff>514350</xdr:colOff>
      <xdr:row>19</xdr:row>
      <xdr:rowOff>85725</xdr:rowOff>
    </xdr:to>
    <xdr:sp>
      <xdr:nvSpPr>
        <xdr:cNvPr id="1" name="Line 4"/>
        <xdr:cNvSpPr>
          <a:spLocks/>
        </xdr:cNvSpPr>
      </xdr:nvSpPr>
      <xdr:spPr>
        <a:xfrm flipH="1">
          <a:off x="5943600" y="32099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123825</xdr:rowOff>
    </xdr:from>
    <xdr:to>
      <xdr:col>0</xdr:col>
      <xdr:colOff>0</xdr:colOff>
      <xdr:row>18</xdr:row>
      <xdr:rowOff>57150</xdr:rowOff>
    </xdr:to>
    <xdr:pic>
      <xdr:nvPicPr>
        <xdr:cNvPr id="1" name="Picture 1"/>
        <xdr:cNvPicPr preferRelativeResize="1">
          <a:picLocks noChangeAspect="1"/>
        </xdr:cNvPicPr>
      </xdr:nvPicPr>
      <xdr:blipFill>
        <a:blip r:embed="rId1"/>
        <a:stretch>
          <a:fillRect/>
        </a:stretch>
      </xdr:blipFill>
      <xdr:spPr>
        <a:xfrm>
          <a:off x="0" y="2752725"/>
          <a:ext cx="0" cy="25717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3</xdr:row>
      <xdr:rowOff>0</xdr:rowOff>
    </xdr:from>
    <xdr:to>
      <xdr:col>0</xdr:col>
      <xdr:colOff>0</xdr:colOff>
      <xdr:row>3</xdr:row>
      <xdr:rowOff>0</xdr:rowOff>
    </xdr:to>
    <xdr:pic>
      <xdr:nvPicPr>
        <xdr:cNvPr id="2" name="Picture 2"/>
        <xdr:cNvPicPr preferRelativeResize="1">
          <a:picLocks noChangeAspect="1"/>
        </xdr:cNvPicPr>
      </xdr:nvPicPr>
      <xdr:blipFill>
        <a:blip r:embed="rId2"/>
        <a:stretch>
          <a:fillRect/>
        </a:stretch>
      </xdr:blipFill>
      <xdr:spPr>
        <a:xfrm>
          <a:off x="0" y="5048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19</xdr:row>
      <xdr:rowOff>76200</xdr:rowOff>
    </xdr:from>
    <xdr:to>
      <xdr:col>0</xdr:col>
      <xdr:colOff>0</xdr:colOff>
      <xdr:row>24</xdr:row>
      <xdr:rowOff>0</xdr:rowOff>
    </xdr:to>
    <xdr:pic>
      <xdr:nvPicPr>
        <xdr:cNvPr id="3" name="Picture 3"/>
        <xdr:cNvPicPr preferRelativeResize="1">
          <a:picLocks noChangeAspect="1"/>
        </xdr:cNvPicPr>
      </xdr:nvPicPr>
      <xdr:blipFill>
        <a:blip r:embed="rId3"/>
        <a:stretch>
          <a:fillRect/>
        </a:stretch>
      </xdr:blipFill>
      <xdr:spPr>
        <a:xfrm>
          <a:off x="0" y="3190875"/>
          <a:ext cx="0" cy="73342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28</xdr:row>
      <xdr:rowOff>142875</xdr:rowOff>
    </xdr:from>
    <xdr:to>
      <xdr:col>0</xdr:col>
      <xdr:colOff>0</xdr:colOff>
      <xdr:row>43</xdr:row>
      <xdr:rowOff>57150</xdr:rowOff>
    </xdr:to>
    <xdr:pic>
      <xdr:nvPicPr>
        <xdr:cNvPr id="4" name="Picture 4"/>
        <xdr:cNvPicPr preferRelativeResize="1">
          <a:picLocks noChangeAspect="1"/>
        </xdr:cNvPicPr>
      </xdr:nvPicPr>
      <xdr:blipFill>
        <a:blip r:embed="rId4"/>
        <a:stretch>
          <a:fillRect/>
        </a:stretch>
      </xdr:blipFill>
      <xdr:spPr>
        <a:xfrm>
          <a:off x="0" y="4714875"/>
          <a:ext cx="0" cy="2343150"/>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3</xdr:row>
      <xdr:rowOff>85725</xdr:rowOff>
    </xdr:from>
    <xdr:to>
      <xdr:col>0</xdr:col>
      <xdr:colOff>0</xdr:colOff>
      <xdr:row>14</xdr:row>
      <xdr:rowOff>133350</xdr:rowOff>
    </xdr:to>
    <xdr:pic>
      <xdr:nvPicPr>
        <xdr:cNvPr id="5" name="Picture 5"/>
        <xdr:cNvPicPr preferRelativeResize="1">
          <a:picLocks noChangeAspect="1"/>
        </xdr:cNvPicPr>
      </xdr:nvPicPr>
      <xdr:blipFill>
        <a:blip r:embed="rId5"/>
        <a:stretch>
          <a:fillRect/>
        </a:stretch>
      </xdr:blipFill>
      <xdr:spPr>
        <a:xfrm>
          <a:off x="0" y="590550"/>
          <a:ext cx="0" cy="183832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15</xdr:row>
      <xdr:rowOff>28575</xdr:rowOff>
    </xdr:from>
    <xdr:to>
      <xdr:col>0</xdr:col>
      <xdr:colOff>0</xdr:colOff>
      <xdr:row>17</xdr:row>
      <xdr:rowOff>123825</xdr:rowOff>
    </xdr:to>
    <xdr:pic>
      <xdr:nvPicPr>
        <xdr:cNvPr id="6" name="Picture 6"/>
        <xdr:cNvPicPr preferRelativeResize="1">
          <a:picLocks noChangeAspect="1"/>
        </xdr:cNvPicPr>
      </xdr:nvPicPr>
      <xdr:blipFill>
        <a:blip r:embed="rId6"/>
        <a:stretch>
          <a:fillRect/>
        </a:stretch>
      </xdr:blipFill>
      <xdr:spPr>
        <a:xfrm>
          <a:off x="0" y="2486025"/>
          <a:ext cx="0" cy="42862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45</xdr:row>
      <xdr:rowOff>0</xdr:rowOff>
    </xdr:from>
    <xdr:to>
      <xdr:col>0</xdr:col>
      <xdr:colOff>0</xdr:colOff>
      <xdr:row>45</xdr:row>
      <xdr:rowOff>0</xdr:rowOff>
    </xdr:to>
    <xdr:pic>
      <xdr:nvPicPr>
        <xdr:cNvPr id="7" name="Picture 9"/>
        <xdr:cNvPicPr preferRelativeResize="1">
          <a:picLocks noChangeAspect="1"/>
        </xdr:cNvPicPr>
      </xdr:nvPicPr>
      <xdr:blipFill>
        <a:blip r:embed="rId7"/>
        <a:stretch>
          <a:fillRect/>
        </a:stretch>
      </xdr:blipFill>
      <xdr:spPr>
        <a:xfrm>
          <a:off x="0" y="7334250"/>
          <a:ext cx="0" cy="0"/>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133350</xdr:colOff>
      <xdr:row>4</xdr:row>
      <xdr:rowOff>9525</xdr:rowOff>
    </xdr:from>
    <xdr:to>
      <xdr:col>5</xdr:col>
      <xdr:colOff>523875</xdr:colOff>
      <xdr:row>15</xdr:row>
      <xdr:rowOff>0</xdr:rowOff>
    </xdr:to>
    <xdr:pic>
      <xdr:nvPicPr>
        <xdr:cNvPr id="8" name="Picture 12"/>
        <xdr:cNvPicPr preferRelativeResize="1">
          <a:picLocks noChangeAspect="1"/>
        </xdr:cNvPicPr>
      </xdr:nvPicPr>
      <xdr:blipFill>
        <a:blip r:embed="rId8"/>
        <a:stretch>
          <a:fillRect/>
        </a:stretch>
      </xdr:blipFill>
      <xdr:spPr>
        <a:xfrm>
          <a:off x="742950" y="676275"/>
          <a:ext cx="4181475" cy="1781175"/>
        </a:xfrm>
        <a:prstGeom prst="rect">
          <a:avLst/>
        </a:prstGeom>
        <a:no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76200</xdr:rowOff>
    </xdr:from>
    <xdr:to>
      <xdr:col>0</xdr:col>
      <xdr:colOff>0</xdr:colOff>
      <xdr:row>89</xdr:row>
      <xdr:rowOff>76200</xdr:rowOff>
    </xdr:to>
    <xdr:sp>
      <xdr:nvSpPr>
        <xdr:cNvPr id="1" name="Line 19"/>
        <xdr:cNvSpPr>
          <a:spLocks/>
        </xdr:cNvSpPr>
      </xdr:nvSpPr>
      <xdr:spPr>
        <a:xfrm flipV="1">
          <a:off x="0" y="14716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95250</xdr:rowOff>
    </xdr:from>
    <xdr:to>
      <xdr:col>0</xdr:col>
      <xdr:colOff>0</xdr:colOff>
      <xdr:row>89</xdr:row>
      <xdr:rowOff>76200</xdr:rowOff>
    </xdr:to>
    <xdr:sp>
      <xdr:nvSpPr>
        <xdr:cNvPr id="2" name="Line 20"/>
        <xdr:cNvSpPr>
          <a:spLocks/>
        </xdr:cNvSpPr>
      </xdr:nvSpPr>
      <xdr:spPr>
        <a:xfrm flipV="1">
          <a:off x="0" y="12144375"/>
          <a:ext cx="0" cy="2571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95250</xdr:rowOff>
    </xdr:from>
    <xdr:to>
      <xdr:col>0</xdr:col>
      <xdr:colOff>0</xdr:colOff>
      <xdr:row>73</xdr:row>
      <xdr:rowOff>95250</xdr:rowOff>
    </xdr:to>
    <xdr:sp>
      <xdr:nvSpPr>
        <xdr:cNvPr id="3" name="Line 21"/>
        <xdr:cNvSpPr>
          <a:spLocks/>
        </xdr:cNvSpPr>
      </xdr:nvSpPr>
      <xdr:spPr>
        <a:xfrm>
          <a:off x="0" y="1214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rmocinetic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gli%20calcolo%20fisica%20I%20e%20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irya\Desktop\FISICA%2022-02-06\Termocineti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ori"/>
      <sheetName val="Muro 2 strati-Muro con finestre"/>
      <sheetName val="Muro 5 strati"/>
      <sheetName val="Muro (conv.+irrag.)"/>
      <sheetName val="Tubo H20 - Tubo aria"/>
      <sheetName val="Tubo con H20 (Q disp. e lung.) "/>
      <sheetName val="Tubo convezione interna"/>
      <sheetName val="Tubo con olio"/>
      <sheetName val="Camino"/>
      <sheetName val="Isolamento anticondensa tubo"/>
      <sheetName val="Sfera"/>
      <sheetName val="Raffreddamento sfera"/>
      <sheetName val="Piastre"/>
      <sheetName val="Dissipatori di calore"/>
      <sheetName val="Mattonella - Automobili"/>
      <sheetName val="Tubo in stanza"/>
      <sheetName val="Tabella Aria e Acqu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rmotecnica 2"/>
      <sheetName val="Resistenze termiche"/>
      <sheetName val="Titolo x e fontana"/>
      <sheetName val="Fluidodinamica 1"/>
      <sheetName val="Fluidodinamica 2"/>
      <sheetName val="Pila e sollevamento massa"/>
      <sheetName val="Acustica"/>
      <sheetName val="Tabelle Termodinamica"/>
      <sheetName val="Tabelle fluidodinamica"/>
      <sheetName val="Tabelle acustica"/>
      <sheetName val="Termodinamica e termocinetica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ercizio 1"/>
      <sheetName val="Esercizio 2"/>
      <sheetName val="Muro 2 strati"/>
      <sheetName val="Muro 5 strati"/>
      <sheetName val="Muro (conv.+irrag.)"/>
      <sheetName val="Tubo con H20"/>
      <sheetName val="Tubo con H20 (Q disp. e lung.) "/>
      <sheetName val="Tubo convezione interna"/>
      <sheetName val="Isolamento anticondensa di tubo"/>
      <sheetName val="Sfera"/>
      <sheetName val="Piastra scaldata"/>
      <sheetName val="Dissipatori di calore"/>
      <sheetName val="Mattonella"/>
      <sheetName val="Tabella Ar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oleObject" Target="../embeddings/oleObject_10_0.bin" /><Relationship Id="rId3" Type="http://schemas.openxmlformats.org/officeDocument/2006/relationships/oleObject" Target="../embeddings/oleObject_10_1.bin" /><Relationship Id="rId4" Type="http://schemas.openxmlformats.org/officeDocument/2006/relationships/oleObject" Target="../embeddings/oleObject_10_2.bin" /><Relationship Id="rId5" Type="http://schemas.openxmlformats.org/officeDocument/2006/relationships/vmlDrawing" Target="../drawings/vmlDrawing7.vml" /><Relationship Id="rId6"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oleObject" Target="../embeddings/oleObject_11_0.bin" /><Relationship Id="rId3" Type="http://schemas.openxmlformats.org/officeDocument/2006/relationships/oleObject" Target="../embeddings/oleObject_11_1.bin" /><Relationship Id="rId4" Type="http://schemas.openxmlformats.org/officeDocument/2006/relationships/oleObject" Target="../embeddings/oleObject_11_2.bin" /><Relationship Id="rId5" Type="http://schemas.openxmlformats.org/officeDocument/2006/relationships/vmlDrawing" Target="../drawings/vmlDrawing8.vml" /><Relationship Id="rId6"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oleObject" Target="../embeddings/oleObject_12_0.bin" /><Relationship Id="rId3" Type="http://schemas.openxmlformats.org/officeDocument/2006/relationships/oleObject" Target="../embeddings/oleObject_12_1.bin" /><Relationship Id="rId4" Type="http://schemas.openxmlformats.org/officeDocument/2006/relationships/oleObject" Target="../embeddings/oleObject_12_2.bin" /><Relationship Id="rId5" Type="http://schemas.openxmlformats.org/officeDocument/2006/relationships/oleObject" Target="../embeddings/oleObject_12_3.bin" /><Relationship Id="rId6" Type="http://schemas.openxmlformats.org/officeDocument/2006/relationships/oleObject" Target="../embeddings/oleObject_12_4.bin" /><Relationship Id="rId7" Type="http://schemas.openxmlformats.org/officeDocument/2006/relationships/oleObject" Target="../embeddings/oleObject_12_5.bin" /><Relationship Id="rId8" Type="http://schemas.openxmlformats.org/officeDocument/2006/relationships/oleObject" Target="../embeddings/oleObject_12_6.bin" /><Relationship Id="rId9" Type="http://schemas.openxmlformats.org/officeDocument/2006/relationships/vmlDrawing" Target="../drawings/vmlDrawing9.vml" /><Relationship Id="rId10"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oleObject" Target="../embeddings/oleObject_13_0.bin" /><Relationship Id="rId3" Type="http://schemas.openxmlformats.org/officeDocument/2006/relationships/oleObject" Target="../embeddings/oleObject_13_1.bin" /><Relationship Id="rId4" Type="http://schemas.openxmlformats.org/officeDocument/2006/relationships/vmlDrawing" Target="../drawings/vmlDrawing10.vml" /><Relationship Id="rId5"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oleObject" Target="../embeddings/oleObject_15_0.bin" /><Relationship Id="rId3" Type="http://schemas.openxmlformats.org/officeDocument/2006/relationships/oleObject" Target="../embeddings/oleObject_15_1.bin" /><Relationship Id="rId4" Type="http://schemas.openxmlformats.org/officeDocument/2006/relationships/oleObject" Target="../embeddings/oleObject_15_2.bin" /><Relationship Id="rId5" Type="http://schemas.openxmlformats.org/officeDocument/2006/relationships/oleObject" Target="../embeddings/oleObject_15_3.bin" /><Relationship Id="rId6" Type="http://schemas.openxmlformats.org/officeDocument/2006/relationships/oleObject" Target="../embeddings/oleObject_15_4.bin" /><Relationship Id="rId7" Type="http://schemas.openxmlformats.org/officeDocument/2006/relationships/vmlDrawing" Target="../drawings/vmlDrawing11.vml" /><Relationship Id="rId8" Type="http://schemas.openxmlformats.org/officeDocument/2006/relationships/drawing" Target="../drawings/drawing5.xml" /><Relationship Id="rId9"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oleObject" Target="../embeddings/oleObject_17_0.bin" /><Relationship Id="rId3" Type="http://schemas.openxmlformats.org/officeDocument/2006/relationships/oleObject" Target="../embeddings/oleObject_17_1.bin" /><Relationship Id="rId4" Type="http://schemas.openxmlformats.org/officeDocument/2006/relationships/oleObject" Target="../embeddings/oleObject_17_2.bin" /><Relationship Id="rId5" Type="http://schemas.openxmlformats.org/officeDocument/2006/relationships/oleObject" Target="../embeddings/oleObject_17_3.bin" /><Relationship Id="rId6" Type="http://schemas.openxmlformats.org/officeDocument/2006/relationships/oleObject" Target="../embeddings/oleObject_17_4.bin" /><Relationship Id="rId7" Type="http://schemas.openxmlformats.org/officeDocument/2006/relationships/oleObject" Target="../embeddings/oleObject_17_5.bin" /><Relationship Id="rId8" Type="http://schemas.openxmlformats.org/officeDocument/2006/relationships/oleObject" Target="../embeddings/oleObject_17_6.bin" /><Relationship Id="rId9" Type="http://schemas.openxmlformats.org/officeDocument/2006/relationships/oleObject" Target="../embeddings/oleObject_17_7.bin" /><Relationship Id="rId10" Type="http://schemas.openxmlformats.org/officeDocument/2006/relationships/vmlDrawing" Target="../drawings/vmlDrawing12.vml" /><Relationship Id="rId1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vmlDrawing" Target="../drawings/vmlDrawing5.vml" /><Relationship Id="rId5" Type="http://schemas.openxmlformats.org/officeDocument/2006/relationships/drawing" Target="../drawings/drawing3.xml" /><Relationship Id="rId6"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2"/>
  </sheetPr>
  <dimension ref="B3:I9"/>
  <sheetViews>
    <sheetView tabSelected="1" workbookViewId="0" topLeftCell="A1">
      <selection activeCell="J8" sqref="J8"/>
    </sheetView>
  </sheetViews>
  <sheetFormatPr defaultColWidth="9.140625" defaultRowHeight="12.75"/>
  <sheetData>
    <row r="3" spans="2:6" ht="17.25" customHeight="1">
      <c r="B3" s="374" t="s">
        <v>520</v>
      </c>
      <c r="C3" s="375"/>
      <c r="D3" s="375"/>
      <c r="E3" s="375"/>
      <c r="F3" s="376"/>
    </row>
    <row r="4" spans="2:6" ht="18" customHeight="1">
      <c r="B4" s="377"/>
      <c r="C4" s="378"/>
      <c r="D4" s="378"/>
      <c r="E4" s="378"/>
      <c r="F4" s="379"/>
    </row>
    <row r="5" spans="2:6" ht="18">
      <c r="B5" s="380" t="s">
        <v>521</v>
      </c>
      <c r="C5" s="381"/>
      <c r="D5" s="381"/>
      <c r="E5" s="381"/>
      <c r="F5" s="382"/>
    </row>
    <row r="6" spans="2:9" ht="18">
      <c r="B6" s="380" t="s">
        <v>522</v>
      </c>
      <c r="C6" s="381"/>
      <c r="D6" s="381"/>
      <c r="E6" s="381"/>
      <c r="F6" s="382"/>
      <c r="H6" s="3"/>
      <c r="I6" s="3"/>
    </row>
    <row r="7" spans="2:9" ht="18">
      <c r="B7" s="380" t="s">
        <v>523</v>
      </c>
      <c r="C7" s="381"/>
      <c r="D7" s="381"/>
      <c r="E7" s="381"/>
      <c r="F7" s="382"/>
      <c r="H7" s="3"/>
      <c r="I7" s="3"/>
    </row>
    <row r="8" spans="2:9" ht="18">
      <c r="B8" s="380" t="s">
        <v>524</v>
      </c>
      <c r="C8" s="381"/>
      <c r="D8" s="381"/>
      <c r="E8" s="381"/>
      <c r="F8" s="382"/>
      <c r="H8" s="3"/>
      <c r="I8" s="3"/>
    </row>
    <row r="9" spans="2:9" ht="18">
      <c r="B9" s="380" t="s">
        <v>525</v>
      </c>
      <c r="C9" s="381"/>
      <c r="D9" s="381"/>
      <c r="E9" s="381"/>
      <c r="F9" s="382"/>
      <c r="H9" s="3"/>
      <c r="I9" s="3"/>
    </row>
  </sheetData>
  <mergeCells count="6">
    <mergeCell ref="B8:F8"/>
    <mergeCell ref="B9:F9"/>
    <mergeCell ref="B3:F4"/>
    <mergeCell ref="B5:F5"/>
    <mergeCell ref="B6:F6"/>
    <mergeCell ref="B7:F7"/>
  </mergeCell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H23"/>
  <sheetViews>
    <sheetView workbookViewId="0" topLeftCell="A1">
      <selection activeCell="D24" sqref="D24"/>
    </sheetView>
  </sheetViews>
  <sheetFormatPr defaultColWidth="9.140625" defaultRowHeight="12.75"/>
  <cols>
    <col min="2" max="2" width="25.00390625" style="0" customWidth="1"/>
  </cols>
  <sheetData>
    <row r="1" spans="1:8" ht="12.75">
      <c r="A1" s="32"/>
      <c r="B1" s="32"/>
      <c r="C1" s="32"/>
      <c r="D1" s="32"/>
      <c r="E1" s="32"/>
      <c r="F1" s="32"/>
      <c r="G1" s="32"/>
      <c r="H1" s="32"/>
    </row>
    <row r="2" spans="1:8" ht="13.5" thickBot="1">
      <c r="A2" s="32"/>
      <c r="B2" s="32"/>
      <c r="C2" s="32"/>
      <c r="D2" s="32"/>
      <c r="E2" s="32"/>
      <c r="F2" s="32"/>
      <c r="G2" s="32"/>
      <c r="H2" s="32"/>
    </row>
    <row r="3" spans="1:8" ht="13.5" thickBot="1">
      <c r="A3" s="32"/>
      <c r="B3" s="126" t="s">
        <v>197</v>
      </c>
      <c r="C3" s="125"/>
      <c r="D3" s="125"/>
      <c r="E3" s="125"/>
      <c r="F3" s="124"/>
      <c r="G3" s="32"/>
      <c r="H3" s="32"/>
    </row>
    <row r="4" spans="1:8" ht="12.75">
      <c r="A4" s="32"/>
      <c r="B4" s="121"/>
      <c r="C4" s="3"/>
      <c r="D4" s="3"/>
      <c r="E4" s="3"/>
      <c r="F4" s="120"/>
      <c r="G4" s="32"/>
      <c r="H4" s="32"/>
    </row>
    <row r="5" spans="1:8" ht="12.75">
      <c r="A5" s="32"/>
      <c r="B5" s="121" t="s">
        <v>145</v>
      </c>
      <c r="C5" s="122">
        <v>45.5</v>
      </c>
      <c r="D5" s="3" t="s">
        <v>76</v>
      </c>
      <c r="E5" s="123">
        <f>C5+273.15</f>
        <v>318.65</v>
      </c>
      <c r="F5" s="120" t="s">
        <v>0</v>
      </c>
      <c r="G5" s="32"/>
      <c r="H5" s="32"/>
    </row>
    <row r="6" spans="1:8" ht="12.75">
      <c r="A6" s="32"/>
      <c r="B6" s="121" t="s">
        <v>146</v>
      </c>
      <c r="C6" s="122">
        <v>26</v>
      </c>
      <c r="D6" s="3" t="s">
        <v>76</v>
      </c>
      <c r="E6" s="123">
        <f>C6+273.15</f>
        <v>299.15</v>
      </c>
      <c r="F6" s="120" t="s">
        <v>0</v>
      </c>
      <c r="G6" s="32"/>
      <c r="H6" s="32"/>
    </row>
    <row r="7" spans="1:8" ht="12.75">
      <c r="A7" s="32"/>
      <c r="B7" s="121"/>
      <c r="C7" s="3"/>
      <c r="D7" s="3"/>
      <c r="E7" s="3"/>
      <c r="F7" s="120"/>
      <c r="G7" s="32"/>
      <c r="H7" s="32"/>
    </row>
    <row r="8" spans="1:8" ht="12.75">
      <c r="A8" s="32"/>
      <c r="B8" s="121" t="s">
        <v>196</v>
      </c>
      <c r="C8" s="122">
        <v>1240</v>
      </c>
      <c r="D8" s="3"/>
      <c r="E8" s="3"/>
      <c r="F8" s="120"/>
      <c r="G8" s="32"/>
      <c r="H8" s="32"/>
    </row>
    <row r="9" spans="1:8" ht="12.75">
      <c r="A9" s="32"/>
      <c r="B9" s="121" t="s">
        <v>195</v>
      </c>
      <c r="C9" s="122">
        <v>4187</v>
      </c>
      <c r="D9" s="3"/>
      <c r="E9" s="3"/>
      <c r="F9" s="120"/>
      <c r="G9" s="32"/>
      <c r="H9" s="32"/>
    </row>
    <row r="10" spans="1:8" ht="12.75">
      <c r="A10" s="32"/>
      <c r="B10" s="121"/>
      <c r="C10" s="3"/>
      <c r="D10" s="3"/>
      <c r="E10" s="3"/>
      <c r="F10" s="120"/>
      <c r="G10" s="32"/>
      <c r="H10" s="32"/>
    </row>
    <row r="11" spans="1:8" ht="13.5" thickBot="1">
      <c r="A11" s="32"/>
      <c r="B11" s="119" t="s">
        <v>194</v>
      </c>
      <c r="C11" s="118">
        <f>C8*C9*((E5-E6)-E6*LN(E5/E6))</f>
        <v>3162973.221654006</v>
      </c>
      <c r="D11" s="117" t="s">
        <v>193</v>
      </c>
      <c r="E11" s="117"/>
      <c r="F11" s="116"/>
      <c r="G11" s="32"/>
      <c r="H11" s="32"/>
    </row>
    <row r="12" spans="1:8" ht="13.5" thickBot="1">
      <c r="A12" s="32"/>
      <c r="B12" s="32"/>
      <c r="C12" s="32"/>
      <c r="D12" s="32"/>
      <c r="E12" s="32"/>
      <c r="F12" s="32"/>
      <c r="G12" s="32"/>
      <c r="H12" s="32"/>
    </row>
    <row r="13" spans="2:6" ht="13.5" thickBot="1">
      <c r="B13" s="337" t="s">
        <v>295</v>
      </c>
      <c r="C13" s="338"/>
      <c r="D13" s="338"/>
      <c r="E13" s="338"/>
      <c r="F13" s="339"/>
    </row>
    <row r="14" spans="2:6" ht="12.75">
      <c r="B14" s="4"/>
      <c r="C14" s="5"/>
      <c r="D14" s="5"/>
      <c r="E14" s="5"/>
      <c r="F14" s="6"/>
    </row>
    <row r="15" spans="2:6" ht="12.75">
      <c r="B15" s="7" t="s">
        <v>289</v>
      </c>
      <c r="C15" s="122">
        <v>1000</v>
      </c>
      <c r="D15" s="3" t="s">
        <v>74</v>
      </c>
      <c r="E15" s="19"/>
      <c r="F15" s="8"/>
    </row>
    <row r="16" spans="2:6" ht="12.75">
      <c r="B16" s="7" t="s">
        <v>290</v>
      </c>
      <c r="C16" s="9">
        <v>300</v>
      </c>
      <c r="D16" s="19" t="s">
        <v>76</v>
      </c>
      <c r="E16" s="19"/>
      <c r="F16" s="8"/>
    </row>
    <row r="17" spans="2:6" ht="12.75">
      <c r="B17" s="7" t="s">
        <v>291</v>
      </c>
      <c r="C17" s="9">
        <v>20</v>
      </c>
      <c r="D17" s="19" t="s">
        <v>76</v>
      </c>
      <c r="E17" s="3"/>
      <c r="F17" s="8"/>
    </row>
    <row r="18" spans="2:6" ht="12.75">
      <c r="B18" s="16"/>
      <c r="C18" s="19"/>
      <c r="D18" s="19"/>
      <c r="E18" s="3"/>
      <c r="F18" s="8"/>
    </row>
    <row r="19" spans="2:6" ht="12.75">
      <c r="B19" s="16" t="s">
        <v>292</v>
      </c>
      <c r="C19" s="54">
        <f>1-((C17+273)/(C16+273))</f>
        <v>0.4886561954624782</v>
      </c>
      <c r="D19" s="19"/>
      <c r="E19" s="3"/>
      <c r="F19" s="8"/>
    </row>
    <row r="20" spans="2:6" ht="12.75">
      <c r="B20" s="16" t="s">
        <v>293</v>
      </c>
      <c r="C20" s="72">
        <f>C15*C19</f>
        <v>488.6561954624782</v>
      </c>
      <c r="D20" s="19" t="s">
        <v>74</v>
      </c>
      <c r="E20" s="3"/>
      <c r="F20" s="8"/>
    </row>
    <row r="21" spans="2:6" ht="12.75">
      <c r="B21" s="16" t="s">
        <v>294</v>
      </c>
      <c r="C21" s="72">
        <f>C15-C20</f>
        <v>511.3438045375218</v>
      </c>
      <c r="D21" s="19" t="s">
        <v>74</v>
      </c>
      <c r="E21" s="3"/>
      <c r="F21" s="8"/>
    </row>
    <row r="22" spans="2:6" ht="13.5" thickBot="1">
      <c r="B22" s="11"/>
      <c r="C22" s="12"/>
      <c r="D22" s="12"/>
      <c r="E22" s="12"/>
      <c r="F22" s="13"/>
    </row>
    <row r="23" spans="2:6" ht="12.75">
      <c r="B23" s="19"/>
      <c r="C23" s="73"/>
      <c r="D23" s="19"/>
      <c r="E23" s="3"/>
      <c r="F23" s="3"/>
    </row>
  </sheetData>
  <mergeCells count="1">
    <mergeCell ref="B13:F13"/>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B2:F15"/>
  <sheetViews>
    <sheetView workbookViewId="0" topLeftCell="A1">
      <selection activeCell="H1" sqref="H1"/>
    </sheetView>
  </sheetViews>
  <sheetFormatPr defaultColWidth="9.140625" defaultRowHeight="12.75"/>
  <cols>
    <col min="2" max="2" width="22.7109375" style="0" customWidth="1"/>
    <col min="9" max="9" width="9.28125" style="0" customWidth="1"/>
    <col min="14" max="14" width="29.28125" style="0" bestFit="1" customWidth="1"/>
    <col min="15" max="15" width="10.57421875" style="0" bestFit="1" customWidth="1"/>
  </cols>
  <sheetData>
    <row r="1" ht="13.5" thickBot="1"/>
    <row r="2" spans="2:6" ht="13.5" thickBot="1">
      <c r="B2" s="104" t="s">
        <v>147</v>
      </c>
      <c r="C2" s="105"/>
      <c r="D2" s="105"/>
      <c r="E2" s="106"/>
      <c r="F2" s="106"/>
    </row>
    <row r="3" spans="2:6" ht="12.75">
      <c r="B3" s="4"/>
      <c r="C3" s="5"/>
      <c r="D3" s="5"/>
      <c r="E3" s="5"/>
      <c r="F3" s="6"/>
    </row>
    <row r="4" spans="2:6" ht="12.75">
      <c r="B4" s="7"/>
      <c r="C4" s="3"/>
      <c r="D4" s="3"/>
      <c r="E4" s="3"/>
      <c r="F4" s="8"/>
    </row>
    <row r="5" spans="2:6" ht="12.75">
      <c r="B5" s="7" t="s">
        <v>148</v>
      </c>
      <c r="C5" s="9">
        <v>1.5</v>
      </c>
      <c r="D5" s="3" t="s">
        <v>149</v>
      </c>
      <c r="E5" s="3"/>
      <c r="F5" s="8"/>
    </row>
    <row r="6" spans="2:6" ht="12.75">
      <c r="B6" s="7" t="s">
        <v>150</v>
      </c>
      <c r="C6" s="9">
        <v>200</v>
      </c>
      <c r="D6" s="3" t="s">
        <v>74</v>
      </c>
      <c r="E6" s="3"/>
      <c r="F6" s="8"/>
    </row>
    <row r="7" spans="2:6" ht="12.75">
      <c r="B7" s="7" t="s">
        <v>151</v>
      </c>
      <c r="C7" s="9">
        <v>100</v>
      </c>
      <c r="D7" s="107" t="s">
        <v>152</v>
      </c>
      <c r="E7" s="3"/>
      <c r="F7" s="8"/>
    </row>
    <row r="8" spans="2:6" ht="12.75">
      <c r="B8" s="7"/>
      <c r="C8" s="3"/>
      <c r="D8" s="3"/>
      <c r="E8" s="3"/>
      <c r="F8" s="8"/>
    </row>
    <row r="9" spans="2:6" ht="12.75">
      <c r="B9" s="7" t="s">
        <v>153</v>
      </c>
      <c r="C9" s="10">
        <f>C5/C7</f>
        <v>0.015</v>
      </c>
      <c r="D9" s="3" t="s">
        <v>154</v>
      </c>
      <c r="E9" s="3"/>
      <c r="F9" s="8"/>
    </row>
    <row r="10" spans="2:6" ht="12.75">
      <c r="B10" s="7"/>
      <c r="C10" s="3"/>
      <c r="D10" s="3"/>
      <c r="E10" s="3"/>
      <c r="F10" s="8"/>
    </row>
    <row r="11" spans="2:6" ht="12.75">
      <c r="B11" s="7" t="s">
        <v>155</v>
      </c>
      <c r="C11" s="10">
        <f>C7*C9^2</f>
        <v>0.0225</v>
      </c>
      <c r="D11" s="3" t="s">
        <v>75</v>
      </c>
      <c r="E11" s="3"/>
      <c r="F11" s="8"/>
    </row>
    <row r="12" spans="2:6" ht="12.75">
      <c r="B12" s="7"/>
      <c r="C12" s="3"/>
      <c r="D12" s="3"/>
      <c r="E12" s="3"/>
      <c r="F12" s="8"/>
    </row>
    <row r="13" spans="2:6" ht="12.75">
      <c r="B13" s="7" t="s">
        <v>156</v>
      </c>
      <c r="C13" s="72">
        <f>C6/C11</f>
        <v>8888.888888888889</v>
      </c>
      <c r="D13" s="3" t="s">
        <v>157</v>
      </c>
      <c r="E13" s="3"/>
      <c r="F13" s="8"/>
    </row>
    <row r="14" spans="2:6" ht="12.75">
      <c r="B14" s="7"/>
      <c r="C14" s="55">
        <f>C13/60</f>
        <v>148.14814814814815</v>
      </c>
      <c r="D14" s="3" t="s">
        <v>158</v>
      </c>
      <c r="E14" s="3"/>
      <c r="F14" s="8"/>
    </row>
    <row r="15" spans="2:6" ht="13.5" thickBot="1">
      <c r="B15" s="11"/>
      <c r="C15" s="204">
        <f>C14/60</f>
        <v>2.4691358024691357</v>
      </c>
      <c r="D15" s="12" t="s">
        <v>159</v>
      </c>
      <c r="E15" s="12"/>
      <c r="F15" s="13"/>
    </row>
  </sheetData>
  <printOptions/>
  <pageMargins left="0.75" right="0.75" top="1" bottom="1" header="0.5" footer="0.5"/>
  <pageSetup orientation="portrait" paperSize="9" r:id="rId6"/>
  <legacyDrawing r:id="rId5"/>
  <oleObjects>
    <oleObject progId="Equation.DSMT4" shapeId="448042" r:id="rId2"/>
    <oleObject progId="Equation.DSMT4" shapeId="448043" r:id="rId3"/>
    <oleObject progId="Equation.DSMT4" shapeId="448044" r:id="rId4"/>
  </oleObjects>
</worksheet>
</file>

<file path=xl/worksheets/sheet12.xml><?xml version="1.0" encoding="utf-8"?>
<worksheet xmlns="http://schemas.openxmlformats.org/spreadsheetml/2006/main" xmlns:r="http://schemas.openxmlformats.org/officeDocument/2006/relationships">
  <dimension ref="B3:N55"/>
  <sheetViews>
    <sheetView workbookViewId="0" topLeftCell="A1">
      <selection activeCell="H37" sqref="H37"/>
    </sheetView>
  </sheetViews>
  <sheetFormatPr defaultColWidth="9.140625" defaultRowHeight="12.75"/>
  <cols>
    <col min="2" max="2" width="29.8515625" style="0" bestFit="1" customWidth="1"/>
    <col min="9" max="9" width="29.28125" style="0" bestFit="1" customWidth="1"/>
    <col min="10" max="10" width="10.57421875" style="0" bestFit="1" customWidth="1"/>
  </cols>
  <sheetData>
    <row r="2" ht="13.5" thickBot="1"/>
    <row r="3" spans="2:6" ht="13.5" thickBot="1">
      <c r="B3" s="17" t="s">
        <v>160</v>
      </c>
      <c r="C3" s="14"/>
      <c r="D3" s="14"/>
      <c r="E3" s="14"/>
      <c r="F3" s="15"/>
    </row>
    <row r="4" spans="2:6" ht="12.75">
      <c r="B4" s="4"/>
      <c r="C4" s="5"/>
      <c r="D4" s="5"/>
      <c r="E4" s="5"/>
      <c r="F4" s="6"/>
    </row>
    <row r="5" spans="2:6" ht="12.75">
      <c r="B5" s="7" t="s">
        <v>161</v>
      </c>
      <c r="C5" s="9">
        <v>4</v>
      </c>
      <c r="D5" s="3" t="s">
        <v>2</v>
      </c>
      <c r="E5" s="3"/>
      <c r="F5" s="8"/>
    </row>
    <row r="6" spans="2:6" ht="12.75">
      <c r="B6" s="7" t="s">
        <v>162</v>
      </c>
      <c r="C6" s="9">
        <v>9.81</v>
      </c>
      <c r="D6" s="3" t="s">
        <v>5</v>
      </c>
      <c r="E6" s="3"/>
      <c r="F6" s="8"/>
    </row>
    <row r="7" spans="2:6" ht="12.75">
      <c r="B7" s="7"/>
      <c r="C7" s="3"/>
      <c r="D7" s="3"/>
      <c r="E7" s="3"/>
      <c r="F7" s="8"/>
    </row>
    <row r="8" spans="2:6" ht="12.75">
      <c r="B8" s="7" t="s">
        <v>163</v>
      </c>
      <c r="C8" s="10">
        <f>C5*C6</f>
        <v>39.24</v>
      </c>
      <c r="D8" s="3" t="s">
        <v>164</v>
      </c>
      <c r="E8" s="3"/>
      <c r="F8" s="8"/>
    </row>
    <row r="9" spans="2:6" ht="12.75">
      <c r="B9" s="7"/>
      <c r="C9" s="3"/>
      <c r="D9" s="3"/>
      <c r="E9" s="3"/>
      <c r="F9" s="8"/>
    </row>
    <row r="10" spans="2:6" ht="12.75">
      <c r="B10" s="7" t="s">
        <v>165</v>
      </c>
      <c r="C10" s="9">
        <v>80</v>
      </c>
      <c r="D10" s="3" t="s">
        <v>166</v>
      </c>
      <c r="E10" s="10">
        <f>C10/100</f>
        <v>0.8</v>
      </c>
      <c r="F10" s="8" t="s">
        <v>167</v>
      </c>
    </row>
    <row r="11" spans="2:6" ht="12.75">
      <c r="B11" s="7"/>
      <c r="C11" s="3"/>
      <c r="D11" s="3"/>
      <c r="E11" s="3"/>
      <c r="F11" s="8"/>
    </row>
    <row r="12" spans="2:6" ht="12.75">
      <c r="B12" s="7" t="s">
        <v>168</v>
      </c>
      <c r="C12" s="10">
        <f>C8*E10</f>
        <v>31.392000000000003</v>
      </c>
      <c r="D12" s="3" t="s">
        <v>74</v>
      </c>
      <c r="E12" s="3"/>
      <c r="F12" s="8"/>
    </row>
    <row r="13" spans="2:6" ht="12.75">
      <c r="B13" s="7"/>
      <c r="C13" s="3"/>
      <c r="D13" s="3"/>
      <c r="E13" s="3"/>
      <c r="F13" s="8"/>
    </row>
    <row r="14" spans="2:6" ht="12.75">
      <c r="B14" s="7" t="s">
        <v>169</v>
      </c>
      <c r="C14" s="9">
        <v>0.1</v>
      </c>
      <c r="D14" s="3" t="s">
        <v>157</v>
      </c>
      <c r="E14" s="3"/>
      <c r="F14" s="8"/>
    </row>
    <row r="15" spans="2:6" ht="12.75">
      <c r="B15" s="7"/>
      <c r="C15" s="3"/>
      <c r="D15" s="3"/>
      <c r="E15" s="3"/>
      <c r="F15" s="8"/>
    </row>
    <row r="16" spans="2:6" ht="12.75">
      <c r="B16" s="7" t="s">
        <v>155</v>
      </c>
      <c r="C16" s="10">
        <f>C12/C14</f>
        <v>313.92</v>
      </c>
      <c r="D16" s="3" t="s">
        <v>75</v>
      </c>
      <c r="E16" s="3"/>
      <c r="F16" s="8"/>
    </row>
    <row r="17" spans="2:6" ht="13.5" thickBot="1">
      <c r="B17" s="11"/>
      <c r="C17" s="12"/>
      <c r="D17" s="12"/>
      <c r="E17" s="12"/>
      <c r="F17" s="13"/>
    </row>
    <row r="18" ht="13.5" thickBot="1"/>
    <row r="19" spans="2:14" ht="13.5" thickBot="1">
      <c r="B19" s="316" t="s">
        <v>354</v>
      </c>
      <c r="C19" s="317"/>
      <c r="D19" s="317"/>
      <c r="E19" s="317"/>
      <c r="F19" s="317"/>
      <c r="G19" s="318"/>
      <c r="I19" s="316" t="s">
        <v>355</v>
      </c>
      <c r="J19" s="317"/>
      <c r="K19" s="317"/>
      <c r="L19" s="317"/>
      <c r="M19" s="317"/>
      <c r="N19" s="318"/>
    </row>
    <row r="20" spans="2:14" ht="12.75">
      <c r="B20" s="4"/>
      <c r="C20" s="5"/>
      <c r="D20" s="5"/>
      <c r="E20" s="5"/>
      <c r="F20" s="5"/>
      <c r="G20" s="6"/>
      <c r="I20" s="4"/>
      <c r="J20" s="5"/>
      <c r="K20" s="5"/>
      <c r="L20" s="5"/>
      <c r="M20" s="5"/>
      <c r="N20" s="6"/>
    </row>
    <row r="21" spans="2:14" ht="12.75">
      <c r="B21" s="206" t="s">
        <v>356</v>
      </c>
      <c r="C21" s="163">
        <v>112</v>
      </c>
      <c r="D21" s="2" t="s">
        <v>2</v>
      </c>
      <c r="E21" s="3"/>
      <c r="F21" s="3"/>
      <c r="G21" s="8"/>
      <c r="I21" s="206" t="s">
        <v>356</v>
      </c>
      <c r="J21" s="163">
        <v>112</v>
      </c>
      <c r="K21" s="2" t="s">
        <v>2</v>
      </c>
      <c r="L21" s="3"/>
      <c r="M21" s="3"/>
      <c r="N21" s="8"/>
    </row>
    <row r="22" spans="2:14" ht="12.75">
      <c r="B22" s="206" t="s">
        <v>357</v>
      </c>
      <c r="C22" s="163">
        <v>134</v>
      </c>
      <c r="D22" s="2" t="s">
        <v>358</v>
      </c>
      <c r="E22" s="165">
        <f>C22/10000</f>
        <v>0.0134</v>
      </c>
      <c r="F22" s="2" t="s">
        <v>126</v>
      </c>
      <c r="G22" s="8"/>
      <c r="I22" s="206" t="s">
        <v>357</v>
      </c>
      <c r="J22" s="163">
        <v>134</v>
      </c>
      <c r="K22" s="2" t="s">
        <v>358</v>
      </c>
      <c r="L22" s="165">
        <f>J22/10000</f>
        <v>0.0134</v>
      </c>
      <c r="M22" s="2" t="s">
        <v>126</v>
      </c>
      <c r="N22" s="8"/>
    </row>
    <row r="23" spans="2:14" ht="12.75">
      <c r="B23" s="206" t="s">
        <v>359</v>
      </c>
      <c r="C23" s="163">
        <v>76</v>
      </c>
      <c r="D23" s="2" t="s">
        <v>76</v>
      </c>
      <c r="E23" s="3"/>
      <c r="F23" s="3"/>
      <c r="G23" s="8"/>
      <c r="I23" s="206" t="s">
        <v>359</v>
      </c>
      <c r="J23" s="163">
        <v>76</v>
      </c>
      <c r="K23" s="2" t="s">
        <v>76</v>
      </c>
      <c r="L23" s="3"/>
      <c r="M23" s="3"/>
      <c r="N23" s="8"/>
    </row>
    <row r="24" spans="2:14" ht="12.75">
      <c r="B24" s="206" t="s">
        <v>360</v>
      </c>
      <c r="C24" s="163">
        <v>100</v>
      </c>
      <c r="D24" s="2" t="s">
        <v>361</v>
      </c>
      <c r="E24" s="165">
        <f>C24/1000</f>
        <v>0.1</v>
      </c>
      <c r="F24" s="180" t="s">
        <v>375</v>
      </c>
      <c r="G24" s="8"/>
      <c r="I24" s="206" t="s">
        <v>360</v>
      </c>
      <c r="J24" s="163">
        <v>100</v>
      </c>
      <c r="K24" s="2" t="s">
        <v>361</v>
      </c>
      <c r="L24" s="165">
        <f>J24/1000</f>
        <v>0.1</v>
      </c>
      <c r="M24" s="180" t="s">
        <v>375</v>
      </c>
      <c r="N24" s="8"/>
    </row>
    <row r="25" spans="2:14" ht="12.75">
      <c r="B25" s="206" t="s">
        <v>362</v>
      </c>
      <c r="C25" s="163">
        <v>4187</v>
      </c>
      <c r="D25" s="2" t="s">
        <v>74</v>
      </c>
      <c r="E25" s="3"/>
      <c r="F25" s="3"/>
      <c r="G25" s="8"/>
      <c r="I25" s="206" t="s">
        <v>362</v>
      </c>
      <c r="J25" s="163">
        <v>4187</v>
      </c>
      <c r="K25" s="2" t="s">
        <v>74</v>
      </c>
      <c r="L25" s="3"/>
      <c r="M25" s="3"/>
      <c r="N25" s="8"/>
    </row>
    <row r="26" spans="2:14" ht="12.75">
      <c r="B26" s="206" t="s">
        <v>363</v>
      </c>
      <c r="C26" s="182">
        <f>101325+(C21*9.81/E22)</f>
        <v>183319.02985074627</v>
      </c>
      <c r="D26" s="2" t="s">
        <v>6</v>
      </c>
      <c r="E26" s="3"/>
      <c r="F26" s="3"/>
      <c r="G26" s="8"/>
      <c r="I26" s="111" t="s">
        <v>364</v>
      </c>
      <c r="J26" s="163">
        <v>0.25</v>
      </c>
      <c r="K26" s="2"/>
      <c r="L26" s="3"/>
      <c r="M26" s="3"/>
      <c r="N26" s="8"/>
    </row>
    <row r="27" spans="2:14" ht="12.75">
      <c r="B27" s="206" t="s">
        <v>365</v>
      </c>
      <c r="C27" s="165">
        <f>E22*E24</f>
        <v>0.00134</v>
      </c>
      <c r="D27" s="241" t="s">
        <v>77</v>
      </c>
      <c r="E27" s="3"/>
      <c r="F27" s="3"/>
      <c r="G27" s="8"/>
      <c r="I27" s="206" t="s">
        <v>363</v>
      </c>
      <c r="J27" s="182">
        <f>101325+(J21*9.81/L22)</f>
        <v>183319.02985074627</v>
      </c>
      <c r="K27" s="2" t="s">
        <v>6</v>
      </c>
      <c r="L27" s="3"/>
      <c r="M27" s="3"/>
      <c r="N27" s="8"/>
    </row>
    <row r="28" spans="2:14" ht="12.75">
      <c r="B28" s="206" t="s">
        <v>366</v>
      </c>
      <c r="C28" s="181">
        <f>C26*C27/(287*(C23+273))</f>
        <v>0.002452477461737368</v>
      </c>
      <c r="D28" s="2" t="s">
        <v>2</v>
      </c>
      <c r="E28" s="3"/>
      <c r="F28" s="3"/>
      <c r="G28" s="8"/>
      <c r="I28" s="111" t="s">
        <v>367</v>
      </c>
      <c r="J28" s="165">
        <f>VLOOKUP(J27/100000,'Tabelle termodinamiche'!C6:J754,8)</f>
        <v>117</v>
      </c>
      <c r="K28" s="180" t="s">
        <v>76</v>
      </c>
      <c r="L28" s="3"/>
      <c r="M28" s="3"/>
      <c r="N28" s="8"/>
    </row>
    <row r="29" spans="2:14" ht="12.75">
      <c r="B29" s="206" t="s">
        <v>368</v>
      </c>
      <c r="C29" s="195">
        <f>C23+(C25/(C28*1000))</f>
        <v>1783.253202251193</v>
      </c>
      <c r="D29" s="2" t="s">
        <v>76</v>
      </c>
      <c r="E29" s="310" t="s">
        <v>369</v>
      </c>
      <c r="F29" s="311"/>
      <c r="G29" s="312"/>
      <c r="I29" s="111" t="s">
        <v>370</v>
      </c>
      <c r="J29" s="165">
        <f>VLOOKUP(J27/100000,'Tabelle termodinamiche'!C6:J754,2)</f>
        <v>0.00105796</v>
      </c>
      <c r="K29" s="241" t="s">
        <v>371</v>
      </c>
      <c r="L29" s="3"/>
      <c r="M29" s="3"/>
      <c r="N29" s="8"/>
    </row>
    <row r="30" spans="2:14" ht="12.75">
      <c r="B30" s="206" t="s">
        <v>372</v>
      </c>
      <c r="C30" s="185">
        <f>C28*287*(C29+273)/C26</f>
        <v>0.007895069601766759</v>
      </c>
      <c r="D30" s="241" t="s">
        <v>77</v>
      </c>
      <c r="E30" s="3"/>
      <c r="F30" s="3"/>
      <c r="G30" s="8"/>
      <c r="I30" s="111" t="s">
        <v>373</v>
      </c>
      <c r="J30" s="165">
        <f>VLOOKUP(J27/100000,'Tabelle termodinamiche'!C6:J754,4)</f>
        <v>0.978388</v>
      </c>
      <c r="K30" s="241" t="s">
        <v>371</v>
      </c>
      <c r="L30" s="3"/>
      <c r="M30" s="3"/>
      <c r="N30" s="8"/>
    </row>
    <row r="31" spans="2:14" ht="12.75">
      <c r="B31" s="206" t="s">
        <v>374</v>
      </c>
      <c r="C31" s="197">
        <f>C30/E22</f>
        <v>0.5891842986393103</v>
      </c>
      <c r="D31" s="2" t="s">
        <v>375</v>
      </c>
      <c r="E31" s="3"/>
      <c r="F31" s="3"/>
      <c r="G31" s="8"/>
      <c r="I31" s="111" t="s">
        <v>376</v>
      </c>
      <c r="J31" s="197">
        <f>J29+(J26*J30)</f>
        <v>0.24565496</v>
      </c>
      <c r="K31" s="241" t="s">
        <v>371</v>
      </c>
      <c r="L31" s="3"/>
      <c r="M31" s="3"/>
      <c r="N31" s="8"/>
    </row>
    <row r="32" spans="2:14" ht="12.75">
      <c r="B32" s="111" t="s">
        <v>377</v>
      </c>
      <c r="C32" s="183">
        <f>C21*9.81*(C31-E24)</f>
        <v>537.4765726009831</v>
      </c>
      <c r="D32" s="180" t="s">
        <v>74</v>
      </c>
      <c r="E32" s="310" t="s">
        <v>378</v>
      </c>
      <c r="F32" s="311"/>
      <c r="G32" s="312"/>
      <c r="I32" s="111" t="s">
        <v>379</v>
      </c>
      <c r="J32" s="165">
        <f>J33/J31</f>
        <v>0.00545480539045497</v>
      </c>
      <c r="K32" s="2" t="s">
        <v>2</v>
      </c>
      <c r="L32" s="3"/>
      <c r="M32" s="3"/>
      <c r="N32" s="8"/>
    </row>
    <row r="33" spans="2:14" ht="12.75">
      <c r="B33" s="111" t="s">
        <v>377</v>
      </c>
      <c r="C33" s="183">
        <f>(C30-C27)*(C26-101325)</f>
        <v>537.4765726009831</v>
      </c>
      <c r="D33" s="180" t="s">
        <v>74</v>
      </c>
      <c r="E33" s="310" t="s">
        <v>380</v>
      </c>
      <c r="F33" s="311"/>
      <c r="G33" s="312"/>
      <c r="I33" s="206" t="s">
        <v>365</v>
      </c>
      <c r="J33" s="165">
        <f>L22*L24</f>
        <v>0.00134</v>
      </c>
      <c r="K33" s="241" t="s">
        <v>77</v>
      </c>
      <c r="L33" s="3"/>
      <c r="M33" s="3"/>
      <c r="N33" s="8"/>
    </row>
    <row r="34" spans="2:14" ht="12.75">
      <c r="B34" s="111" t="s">
        <v>381</v>
      </c>
      <c r="C34" s="183">
        <f>C30*1000*(LOG((273+C29)/(273+C23)))</f>
        <v>6.081186555930097</v>
      </c>
      <c r="D34" s="2" t="s">
        <v>63</v>
      </c>
      <c r="E34" s="310" t="s">
        <v>382</v>
      </c>
      <c r="F34" s="311"/>
      <c r="G34" s="312"/>
      <c r="I34" s="111" t="s">
        <v>383</v>
      </c>
      <c r="J34" s="165">
        <f>VLOOKUP(J27/100000,'Tabelle termodinamiche'!C6:J754,6)</f>
        <v>2210.64</v>
      </c>
      <c r="K34" s="2" t="s">
        <v>384</v>
      </c>
      <c r="L34" s="3"/>
      <c r="M34" s="3"/>
      <c r="N34" s="8"/>
    </row>
    <row r="35" spans="2:14" ht="13.5" thickBot="1">
      <c r="B35" s="11"/>
      <c r="C35" s="12"/>
      <c r="D35" s="12"/>
      <c r="E35" s="12"/>
      <c r="F35" s="12"/>
      <c r="G35" s="13"/>
      <c r="I35" s="206" t="s">
        <v>104</v>
      </c>
      <c r="J35" s="197">
        <f>J26+(J25/(J32*J34*1000))</f>
        <v>0.5972207540357057</v>
      </c>
      <c r="K35" s="2"/>
      <c r="L35" s="3"/>
      <c r="M35" s="3"/>
      <c r="N35" s="8"/>
    </row>
    <row r="36" spans="9:14" ht="13.5" thickBot="1">
      <c r="I36" s="206" t="s">
        <v>385</v>
      </c>
      <c r="J36" s="165">
        <f>J29+(J35*J30)</f>
        <v>0.5853715790994861</v>
      </c>
      <c r="K36" s="241" t="s">
        <v>371</v>
      </c>
      <c r="L36" s="3"/>
      <c r="M36" s="3"/>
      <c r="N36" s="8"/>
    </row>
    <row r="37" spans="2:14" ht="12.75">
      <c r="B37" s="291" t="s">
        <v>480</v>
      </c>
      <c r="C37" s="292"/>
      <c r="D37" s="292"/>
      <c r="E37" s="292"/>
      <c r="F37" s="292"/>
      <c r="G37" s="293"/>
      <c r="I37" s="206" t="s">
        <v>386</v>
      </c>
      <c r="J37" s="165">
        <f>J32*J36</f>
        <v>0.0031930880450910144</v>
      </c>
      <c r="K37" s="241" t="s">
        <v>77</v>
      </c>
      <c r="L37" s="3"/>
      <c r="M37" s="3"/>
      <c r="N37" s="8"/>
    </row>
    <row r="38" spans="2:14" ht="12.75">
      <c r="B38" s="294"/>
      <c r="C38" s="295"/>
      <c r="D38" s="295"/>
      <c r="E38" s="295"/>
      <c r="F38" s="295"/>
      <c r="G38" s="273"/>
      <c r="I38" s="206" t="s">
        <v>387</v>
      </c>
      <c r="J38" s="185">
        <f>J37/L22</f>
        <v>0.2382901526187324</v>
      </c>
      <c r="K38" s="2" t="s">
        <v>375</v>
      </c>
      <c r="L38" s="80"/>
      <c r="M38" s="80"/>
      <c r="N38" s="243"/>
    </row>
    <row r="39" spans="2:14" ht="12.75">
      <c r="B39" s="294"/>
      <c r="C39" s="295"/>
      <c r="D39" s="295"/>
      <c r="E39" s="295"/>
      <c r="F39" s="295"/>
      <c r="G39" s="273"/>
      <c r="I39" s="111" t="s">
        <v>377</v>
      </c>
      <c r="J39" s="183">
        <f>J21*9.81*(J38-L24)</f>
        <v>151.94215648525366</v>
      </c>
      <c r="K39" s="180" t="s">
        <v>74</v>
      </c>
      <c r="L39" s="242" t="s">
        <v>378</v>
      </c>
      <c r="M39" s="80"/>
      <c r="N39" s="243"/>
    </row>
    <row r="40" spans="2:14" ht="12.75">
      <c r="B40" s="294"/>
      <c r="C40" s="295"/>
      <c r="D40" s="295"/>
      <c r="E40" s="295"/>
      <c r="F40" s="295"/>
      <c r="G40" s="273"/>
      <c r="I40" s="111" t="s">
        <v>388</v>
      </c>
      <c r="J40" s="182">
        <f>J34*1000/(J28+273)</f>
        <v>5668.307692307692</v>
      </c>
      <c r="K40" s="180" t="s">
        <v>19</v>
      </c>
      <c r="L40" s="80"/>
      <c r="M40" s="80"/>
      <c r="N40" s="243"/>
    </row>
    <row r="41" spans="2:14" ht="12.75">
      <c r="B41" s="294"/>
      <c r="C41" s="295"/>
      <c r="D41" s="295"/>
      <c r="E41" s="295"/>
      <c r="F41" s="295"/>
      <c r="G41" s="273"/>
      <c r="I41" s="111" t="s">
        <v>389</v>
      </c>
      <c r="J41" s="183">
        <f>J32*J40*(J35-J26)</f>
        <v>10.735897435897435</v>
      </c>
      <c r="K41" s="180" t="s">
        <v>63</v>
      </c>
      <c r="L41" s="80"/>
      <c r="M41" s="80"/>
      <c r="N41" s="243"/>
    </row>
    <row r="42" spans="2:14" ht="13.5" thickBot="1">
      <c r="B42" s="269"/>
      <c r="C42" s="270"/>
      <c r="D42" s="270"/>
      <c r="E42" s="270"/>
      <c r="F42" s="270"/>
      <c r="G42" s="271"/>
      <c r="I42" s="11"/>
      <c r="J42" s="12"/>
      <c r="K42" s="12"/>
      <c r="L42" s="12"/>
      <c r="M42" s="12"/>
      <c r="N42" s="13"/>
    </row>
    <row r="43" spans="2:7" ht="12.75">
      <c r="B43" s="4"/>
      <c r="C43" s="5"/>
      <c r="D43" s="5"/>
      <c r="E43" s="5"/>
      <c r="F43" s="5"/>
      <c r="G43" s="6"/>
    </row>
    <row r="44" spans="2:7" ht="12.75">
      <c r="B44" s="205" t="s">
        <v>340</v>
      </c>
      <c r="C44" s="163">
        <v>2</v>
      </c>
      <c r="D44" s="2"/>
      <c r="E44" s="3"/>
      <c r="F44" s="3"/>
      <c r="G44" s="8"/>
    </row>
    <row r="45" spans="2:7" ht="12.75">
      <c r="B45" s="206" t="s">
        <v>475</v>
      </c>
      <c r="C45" s="163">
        <v>0.5</v>
      </c>
      <c r="D45" s="2" t="s">
        <v>2</v>
      </c>
      <c r="E45" s="3"/>
      <c r="F45" s="3"/>
      <c r="G45" s="8"/>
    </row>
    <row r="46" spans="2:7" ht="12.75">
      <c r="B46" s="206" t="s">
        <v>359</v>
      </c>
      <c r="C46" s="163">
        <v>17</v>
      </c>
      <c r="D46" s="2" t="s">
        <v>76</v>
      </c>
      <c r="E46" s="165">
        <f>273+C46</f>
        <v>290</v>
      </c>
      <c r="F46" s="2" t="s">
        <v>0</v>
      </c>
      <c r="G46" s="8"/>
    </row>
    <row r="47" spans="2:7" ht="12.75">
      <c r="B47" s="206" t="s">
        <v>476</v>
      </c>
      <c r="C47" s="163">
        <v>450</v>
      </c>
      <c r="D47" s="2" t="s">
        <v>0</v>
      </c>
      <c r="E47" s="3"/>
      <c r="F47" s="3"/>
      <c r="G47" s="8"/>
    </row>
    <row r="48" spans="2:7" ht="12.75">
      <c r="B48" s="206" t="s">
        <v>314</v>
      </c>
      <c r="C48" s="163">
        <v>798</v>
      </c>
      <c r="D48" s="2" t="s">
        <v>193</v>
      </c>
      <c r="E48" s="165">
        <f>C48*1000</f>
        <v>798000</v>
      </c>
      <c r="F48" s="2" t="s">
        <v>74</v>
      </c>
      <c r="G48" s="8"/>
    </row>
    <row r="49" spans="2:7" ht="12.75">
      <c r="B49" s="206" t="s">
        <v>477</v>
      </c>
      <c r="C49" s="165">
        <f>VLOOKUP(C44,'Tabelle termodinamiche'!L7:P21,5)</f>
        <v>14307</v>
      </c>
      <c r="D49" s="2" t="s">
        <v>19</v>
      </c>
      <c r="E49" s="3"/>
      <c r="F49" s="3"/>
      <c r="G49" s="8"/>
    </row>
    <row r="50" spans="2:7" ht="12.75">
      <c r="B50" s="206" t="s">
        <v>368</v>
      </c>
      <c r="C50" s="183">
        <f>E50-273</f>
        <v>128.55378486055776</v>
      </c>
      <c r="D50" s="2" t="s">
        <v>76</v>
      </c>
      <c r="E50" s="183">
        <f>E46+(E48/(C49*C45))</f>
        <v>401.55378486055776</v>
      </c>
      <c r="F50" s="2" t="s">
        <v>0</v>
      </c>
      <c r="G50" s="8"/>
    </row>
    <row r="51" spans="2:7" ht="12.75">
      <c r="B51" s="206" t="s">
        <v>478</v>
      </c>
      <c r="C51" s="182">
        <f>C45*C49*(LOG(E50/E46))</f>
        <v>1011.1166496691038</v>
      </c>
      <c r="D51" s="2" t="s">
        <v>63</v>
      </c>
      <c r="E51" s="3"/>
      <c r="F51" s="3"/>
      <c r="G51" s="8"/>
    </row>
    <row r="52" spans="2:7" ht="12.75">
      <c r="B52" s="206" t="s">
        <v>479</v>
      </c>
      <c r="C52" s="182">
        <f>C45*C49*(LOG((E50/E46)-((E50-E46)/C47)))</f>
        <v>398.2564963930145</v>
      </c>
      <c r="D52" s="2" t="s">
        <v>63</v>
      </c>
      <c r="E52" s="3"/>
      <c r="F52" s="3"/>
      <c r="G52" s="8"/>
    </row>
    <row r="53" spans="2:7" ht="13.5" thickBot="1">
      <c r="B53" s="11"/>
      <c r="C53" s="12"/>
      <c r="D53" s="12"/>
      <c r="E53" s="12"/>
      <c r="F53" s="12"/>
      <c r="G53" s="13"/>
    </row>
    <row r="54" spans="2:4" ht="12.75">
      <c r="B54" s="3"/>
      <c r="C54" s="3"/>
      <c r="D54" s="3"/>
    </row>
    <row r="55" spans="2:4" ht="12.75">
      <c r="B55" s="3"/>
      <c r="C55" s="3"/>
      <c r="D55" s="3"/>
    </row>
  </sheetData>
  <mergeCells count="7">
    <mergeCell ref="B37:G42"/>
    <mergeCell ref="I19:N19"/>
    <mergeCell ref="E33:G33"/>
    <mergeCell ref="E34:G34"/>
    <mergeCell ref="B19:G19"/>
    <mergeCell ref="E29:G29"/>
    <mergeCell ref="E32:G32"/>
  </mergeCells>
  <printOptions/>
  <pageMargins left="0.75" right="0.75" top="1" bottom="1" header="0.5" footer="0.5"/>
  <pageSetup horizontalDpi="300" verticalDpi="300" orientation="portrait" paperSize="9" r:id="rId6"/>
  <legacyDrawing r:id="rId5"/>
  <oleObjects>
    <oleObject progId="Equation.DSMT4" shapeId="1050501" r:id="rId2"/>
    <oleObject progId="Equation.DSMT4" shapeId="1073243" r:id="rId3"/>
    <oleObject progId="Equation.DSMT4" shapeId="1075949" r:id="rId4"/>
  </oleObjects>
</worksheet>
</file>

<file path=xl/worksheets/sheet13.xml><?xml version="1.0" encoding="utf-8"?>
<worksheet xmlns="http://schemas.openxmlformats.org/spreadsheetml/2006/main" xmlns:r="http://schemas.openxmlformats.org/officeDocument/2006/relationships">
  <dimension ref="B1:L37"/>
  <sheetViews>
    <sheetView workbookViewId="0" topLeftCell="A1">
      <selection activeCell="E47" sqref="E47"/>
    </sheetView>
  </sheetViews>
  <sheetFormatPr defaultColWidth="9.140625" defaultRowHeight="12.75"/>
  <cols>
    <col min="2" max="2" width="27.140625" style="0" customWidth="1"/>
    <col min="3" max="3" width="13.7109375" style="0" customWidth="1"/>
    <col min="11" max="11" width="25.140625" style="0" customWidth="1"/>
    <col min="12" max="12" width="11.28125" style="0" customWidth="1"/>
  </cols>
  <sheetData>
    <row r="1" spans="2:10" ht="13.5" thickBot="1">
      <c r="B1" s="17" t="s">
        <v>170</v>
      </c>
      <c r="C1" s="108"/>
      <c r="D1" s="108"/>
      <c r="E1" s="108"/>
      <c r="F1" s="108"/>
      <c r="G1" s="108"/>
      <c r="H1" s="108"/>
      <c r="I1" s="108"/>
      <c r="J1" s="109"/>
    </row>
    <row r="2" spans="2:10" ht="12.75">
      <c r="B2" s="7"/>
      <c r="C2" s="3"/>
      <c r="D2" s="3"/>
      <c r="E2" s="3"/>
      <c r="F2" s="3"/>
      <c r="G2" s="3"/>
      <c r="H2" s="3"/>
      <c r="I2" s="3"/>
      <c r="J2" s="8"/>
    </row>
    <row r="3" spans="2:10" ht="12.75">
      <c r="B3" s="7"/>
      <c r="C3" s="3"/>
      <c r="D3" s="3"/>
      <c r="E3" s="3"/>
      <c r="F3" s="3"/>
      <c r="G3" s="3"/>
      <c r="H3" s="3"/>
      <c r="I3" s="3"/>
      <c r="J3" s="8"/>
    </row>
    <row r="4" spans="2:10" ht="12.75">
      <c r="B4" s="7" t="s">
        <v>171</v>
      </c>
      <c r="C4" s="9">
        <v>0.5</v>
      </c>
      <c r="D4" s="3" t="s">
        <v>4</v>
      </c>
      <c r="E4" s="10">
        <f>C4*736</f>
        <v>368</v>
      </c>
      <c r="F4" s="3" t="s">
        <v>75</v>
      </c>
      <c r="G4" s="3"/>
      <c r="H4" s="3"/>
      <c r="I4" s="3"/>
      <c r="J4" s="8"/>
    </row>
    <row r="5" spans="2:10" ht="12.75">
      <c r="B5" s="7" t="s">
        <v>172</v>
      </c>
      <c r="C5" s="9">
        <v>20</v>
      </c>
      <c r="D5" s="3" t="s">
        <v>158</v>
      </c>
      <c r="E5" s="10">
        <f>C5*60</f>
        <v>1200</v>
      </c>
      <c r="F5" s="3" t="s">
        <v>157</v>
      </c>
      <c r="G5" s="3"/>
      <c r="H5" s="3"/>
      <c r="I5" s="3"/>
      <c r="J5" s="8"/>
    </row>
    <row r="6" spans="2:10" ht="12.75">
      <c r="B6" s="7"/>
      <c r="C6" s="3"/>
      <c r="D6" s="3"/>
      <c r="E6" s="3"/>
      <c r="F6" s="3"/>
      <c r="G6" s="3"/>
      <c r="H6" s="3"/>
      <c r="I6" s="3"/>
      <c r="J6" s="8"/>
    </row>
    <row r="7" spans="2:10" ht="12.75">
      <c r="B7" s="7" t="s">
        <v>173</v>
      </c>
      <c r="C7" s="9">
        <v>100</v>
      </c>
      <c r="D7" s="3" t="s">
        <v>2</v>
      </c>
      <c r="E7" s="3"/>
      <c r="F7" s="3"/>
      <c r="G7" s="3"/>
      <c r="H7" s="3"/>
      <c r="I7" s="3"/>
      <c r="J7" s="8"/>
    </row>
    <row r="8" spans="2:10" ht="12.75">
      <c r="B8" s="7" t="s">
        <v>174</v>
      </c>
      <c r="C8" s="9">
        <v>4187</v>
      </c>
      <c r="D8" s="3" t="s">
        <v>85</v>
      </c>
      <c r="E8" s="3"/>
      <c r="F8" s="3"/>
      <c r="G8" s="3"/>
      <c r="H8" s="3"/>
      <c r="I8" s="3"/>
      <c r="J8" s="8"/>
    </row>
    <row r="9" spans="2:10" ht="12.75">
      <c r="B9" s="7"/>
      <c r="C9" s="3"/>
      <c r="D9" s="3"/>
      <c r="E9" s="3"/>
      <c r="F9" s="3"/>
      <c r="G9" s="3"/>
      <c r="H9" s="3"/>
      <c r="I9" s="3"/>
      <c r="J9" s="8"/>
    </row>
    <row r="10" spans="2:12" ht="12.75">
      <c r="B10" s="7"/>
      <c r="C10" s="3"/>
      <c r="D10" s="3"/>
      <c r="E10" s="3"/>
      <c r="F10" s="3"/>
      <c r="G10" s="3"/>
      <c r="H10" s="3"/>
      <c r="I10" s="3"/>
      <c r="J10" s="8"/>
      <c r="K10" s="1"/>
      <c r="L10" s="1"/>
    </row>
    <row r="11" spans="2:12" ht="12.75">
      <c r="B11" s="7" t="s">
        <v>175</v>
      </c>
      <c r="C11" s="10">
        <f>-(E4*E5)</f>
        <v>-441600</v>
      </c>
      <c r="D11" s="3" t="s">
        <v>74</v>
      </c>
      <c r="E11" s="3"/>
      <c r="F11" s="3"/>
      <c r="G11" s="3"/>
      <c r="H11" s="3"/>
      <c r="I11" s="3"/>
      <c r="J11" s="8"/>
      <c r="K11" s="1"/>
      <c r="L11" s="1"/>
    </row>
    <row r="12" spans="2:12" ht="12.75">
      <c r="B12" s="7"/>
      <c r="C12" s="3"/>
      <c r="D12" s="3"/>
      <c r="E12" s="3"/>
      <c r="F12" s="3"/>
      <c r="G12" s="3"/>
      <c r="H12" s="3"/>
      <c r="I12" s="3"/>
      <c r="J12" s="8"/>
      <c r="K12" s="1"/>
      <c r="L12" s="1"/>
    </row>
    <row r="13" spans="2:12" ht="12.75">
      <c r="B13" s="7" t="s">
        <v>187</v>
      </c>
      <c r="C13" s="10">
        <f>-C11</f>
        <v>441600</v>
      </c>
      <c r="D13" s="3" t="s">
        <v>74</v>
      </c>
      <c r="E13" s="3"/>
      <c r="F13" s="3"/>
      <c r="G13" s="3"/>
      <c r="H13" s="3"/>
      <c r="I13" s="3"/>
      <c r="J13" s="8"/>
      <c r="K13" s="1"/>
      <c r="L13" s="1"/>
    </row>
    <row r="14" spans="2:12" ht="12.75">
      <c r="B14" s="7"/>
      <c r="C14" s="19"/>
      <c r="D14" s="3"/>
      <c r="E14" s="3"/>
      <c r="F14" s="3"/>
      <c r="G14" s="3"/>
      <c r="H14" s="3"/>
      <c r="I14" s="3"/>
      <c r="J14" s="8"/>
      <c r="K14" s="1"/>
      <c r="L14" s="1"/>
    </row>
    <row r="15" spans="2:12" ht="12.75">
      <c r="B15" s="7"/>
      <c r="C15" s="19"/>
      <c r="D15" s="3"/>
      <c r="E15" s="3"/>
      <c r="F15" s="3"/>
      <c r="G15" s="3"/>
      <c r="H15" s="3"/>
      <c r="I15" s="3"/>
      <c r="J15" s="8"/>
      <c r="K15" s="1"/>
      <c r="L15" s="1"/>
    </row>
    <row r="16" spans="2:10" ht="12.75">
      <c r="B16" s="7" t="s">
        <v>188</v>
      </c>
      <c r="C16" s="110">
        <f>C13/(C7*C8)</f>
        <v>1.0546930976833055</v>
      </c>
      <c r="D16" s="3"/>
      <c r="E16" s="3"/>
      <c r="F16" s="3"/>
      <c r="G16" s="3"/>
      <c r="H16" s="3"/>
      <c r="I16" s="3"/>
      <c r="J16" s="8"/>
    </row>
    <row r="17" spans="2:10" ht="13.5" thickBot="1">
      <c r="B17" s="11"/>
      <c r="C17" s="12"/>
      <c r="D17" s="12"/>
      <c r="E17" s="12"/>
      <c r="F17" s="12"/>
      <c r="G17" s="12"/>
      <c r="H17" s="12"/>
      <c r="I17" s="12"/>
      <c r="J17" s="13"/>
    </row>
    <row r="18" spans="2:6" ht="12.75">
      <c r="B18" s="3"/>
      <c r="C18" s="3"/>
      <c r="D18" s="3"/>
      <c r="E18" s="3"/>
      <c r="F18" s="3"/>
    </row>
    <row r="21" ht="13.5" thickBot="1"/>
    <row r="22" spans="2:10" ht="13.5" thickBot="1">
      <c r="B22" s="17" t="s">
        <v>177</v>
      </c>
      <c r="C22" s="108"/>
      <c r="D22" s="108"/>
      <c r="E22" s="108"/>
      <c r="F22" s="108"/>
      <c r="G22" s="108"/>
      <c r="H22" s="108"/>
      <c r="I22" s="108"/>
      <c r="J22" s="109"/>
    </row>
    <row r="23" spans="2:10" ht="12.75">
      <c r="B23" s="4"/>
      <c r="C23" s="5"/>
      <c r="D23" s="5"/>
      <c r="E23" s="5"/>
      <c r="F23" s="5"/>
      <c r="G23" s="5"/>
      <c r="H23" s="5"/>
      <c r="I23" s="5"/>
      <c r="J23" s="6"/>
    </row>
    <row r="24" spans="2:10" ht="12.75">
      <c r="B24" s="7"/>
      <c r="C24" s="3"/>
      <c r="D24" s="3"/>
      <c r="E24" s="3"/>
      <c r="F24" s="3"/>
      <c r="G24" s="3"/>
      <c r="H24" s="3"/>
      <c r="I24" s="3"/>
      <c r="J24" s="8"/>
    </row>
    <row r="25" spans="2:10" ht="12.75">
      <c r="B25" s="7" t="s">
        <v>173</v>
      </c>
      <c r="C25" s="9">
        <v>100</v>
      </c>
      <c r="D25" s="3" t="s">
        <v>178</v>
      </c>
      <c r="E25" s="3"/>
      <c r="F25" s="3"/>
      <c r="G25" s="3"/>
      <c r="H25" s="3"/>
      <c r="I25" s="3"/>
      <c r="J25" s="8"/>
    </row>
    <row r="26" spans="2:10" ht="12.75">
      <c r="B26" s="7" t="s">
        <v>179</v>
      </c>
      <c r="C26" s="18">
        <f>C34/(C36*C27)</f>
        <v>2.2018348623853212</v>
      </c>
      <c r="D26" s="3" t="s">
        <v>167</v>
      </c>
      <c r="E26" s="3"/>
      <c r="F26" s="3"/>
      <c r="G26" s="3"/>
      <c r="H26" s="3"/>
      <c r="I26" s="3"/>
      <c r="J26" s="8"/>
    </row>
    <row r="27" spans="2:10" ht="12.75">
      <c r="B27" s="7" t="s">
        <v>180</v>
      </c>
      <c r="C27" s="9">
        <v>100</v>
      </c>
      <c r="D27" s="3" t="s">
        <v>2</v>
      </c>
      <c r="E27" s="3"/>
      <c r="F27" s="3"/>
      <c r="G27" s="3"/>
      <c r="H27" s="3"/>
      <c r="I27" s="3"/>
      <c r="J27" s="8"/>
    </row>
    <row r="28" spans="2:10" ht="12.75">
      <c r="B28" s="7" t="s">
        <v>181</v>
      </c>
      <c r="C28" s="9">
        <v>0.2</v>
      </c>
      <c r="D28" s="107" t="s">
        <v>152</v>
      </c>
      <c r="E28" s="3"/>
      <c r="F28" s="3"/>
      <c r="G28" s="3"/>
      <c r="H28" s="3"/>
      <c r="I28" s="3"/>
      <c r="J28" s="8"/>
    </row>
    <row r="29" spans="2:10" ht="12.75">
      <c r="B29" s="7" t="s">
        <v>182</v>
      </c>
      <c r="C29" s="9">
        <v>6</v>
      </c>
      <c r="D29" s="3" t="s">
        <v>183</v>
      </c>
      <c r="E29" s="3"/>
      <c r="F29" s="3"/>
      <c r="G29" s="3"/>
      <c r="H29" s="3"/>
      <c r="I29" s="3"/>
      <c r="J29" s="8"/>
    </row>
    <row r="30" spans="2:10" ht="12.75">
      <c r="B30" s="7" t="s">
        <v>184</v>
      </c>
      <c r="C30" s="9">
        <v>5</v>
      </c>
      <c r="D30" s="3" t="s">
        <v>158</v>
      </c>
      <c r="E30" s="10">
        <f>C30*60</f>
        <v>300</v>
      </c>
      <c r="F30" s="3" t="s">
        <v>157</v>
      </c>
      <c r="G30" s="3"/>
      <c r="H30" s="3"/>
      <c r="I30" s="3"/>
      <c r="J30" s="8"/>
    </row>
    <row r="31" spans="2:10" ht="12.75">
      <c r="B31" s="7"/>
      <c r="C31" s="3"/>
      <c r="D31" s="3"/>
      <c r="E31" s="3"/>
      <c r="F31" s="3"/>
      <c r="G31" s="3"/>
      <c r="H31" s="3"/>
      <c r="I31" s="3"/>
      <c r="J31" s="8"/>
    </row>
    <row r="32" spans="2:10" ht="12.75">
      <c r="B32" s="7" t="s">
        <v>155</v>
      </c>
      <c r="C32" s="10">
        <f>C28*C29^2</f>
        <v>7.2</v>
      </c>
      <c r="D32" s="3" t="s">
        <v>176</v>
      </c>
      <c r="E32" s="3"/>
      <c r="F32" s="3"/>
      <c r="G32" s="3"/>
      <c r="H32" s="3"/>
      <c r="I32" s="3"/>
      <c r="J32" s="8"/>
    </row>
    <row r="33" spans="2:10" ht="12.75">
      <c r="B33" s="7"/>
      <c r="C33" s="3"/>
      <c r="D33" s="3"/>
      <c r="E33" s="3"/>
      <c r="F33" s="3"/>
      <c r="G33" s="3"/>
      <c r="H33" s="3"/>
      <c r="I33" s="3"/>
      <c r="J33" s="8"/>
    </row>
    <row r="34" spans="2:10" ht="12.75">
      <c r="B34" s="7" t="s">
        <v>185</v>
      </c>
      <c r="C34" s="10">
        <f>C32*E30</f>
        <v>2160</v>
      </c>
      <c r="D34" s="3" t="s">
        <v>74</v>
      </c>
      <c r="E34" s="3"/>
      <c r="F34" s="3"/>
      <c r="G34" s="3"/>
      <c r="H34" s="3"/>
      <c r="I34" s="3"/>
      <c r="J34" s="8"/>
    </row>
    <row r="35" spans="2:10" ht="12.75">
      <c r="B35" s="7"/>
      <c r="C35" s="3"/>
      <c r="D35" s="3"/>
      <c r="E35" s="3"/>
      <c r="F35" s="3"/>
      <c r="G35" s="3"/>
      <c r="H35" s="3"/>
      <c r="I35" s="3"/>
      <c r="J35" s="8"/>
    </row>
    <row r="36" spans="2:10" ht="12.75">
      <c r="B36" s="7" t="s">
        <v>186</v>
      </c>
      <c r="C36" s="9">
        <v>9.81</v>
      </c>
      <c r="D36" s="3" t="s">
        <v>344</v>
      </c>
      <c r="E36" s="3"/>
      <c r="F36" s="3"/>
      <c r="G36" s="3"/>
      <c r="H36" s="3"/>
      <c r="I36" s="3"/>
      <c r="J36" s="8"/>
    </row>
    <row r="37" spans="2:10" ht="13.5" thickBot="1">
      <c r="B37" s="11"/>
      <c r="C37" s="12"/>
      <c r="D37" s="12"/>
      <c r="E37" s="12"/>
      <c r="F37" s="12"/>
      <c r="G37" s="12"/>
      <c r="H37" s="12"/>
      <c r="I37" s="12"/>
      <c r="J37" s="13"/>
    </row>
  </sheetData>
  <printOptions/>
  <pageMargins left="0.75" right="0.75" top="1" bottom="1" header="0.5" footer="0.5"/>
  <pageSetup horizontalDpi="300" verticalDpi="300" orientation="portrait" paperSize="9" r:id="rId10"/>
  <legacyDrawing r:id="rId9"/>
  <oleObjects>
    <oleObject progId="AutoCAD.Drawing.14" shapeId="576168" r:id="rId2"/>
    <oleObject progId="AutoCAD.Drawing.14" shapeId="586026" r:id="rId3"/>
    <oleObject progId="Equation.DSMT4" shapeId="719370" r:id="rId4"/>
    <oleObject progId="Equation.DSMT4" shapeId="727795" r:id="rId5"/>
    <oleObject progId="Equation.DSMT4" shapeId="729208" r:id="rId6"/>
    <oleObject progId="Equation.DSMT4" shapeId="748889" r:id="rId7"/>
    <oleObject progId="Equation.DSMT4" shapeId="754570" r:id="rId8"/>
  </oleObjects>
</worksheet>
</file>

<file path=xl/worksheets/sheet14.xml><?xml version="1.0" encoding="utf-8"?>
<worksheet xmlns="http://schemas.openxmlformats.org/spreadsheetml/2006/main" xmlns:r="http://schemas.openxmlformats.org/officeDocument/2006/relationships">
  <dimension ref="A1:T32"/>
  <sheetViews>
    <sheetView workbookViewId="0" topLeftCell="A1">
      <selection activeCell="D14" sqref="D14"/>
    </sheetView>
  </sheetViews>
  <sheetFormatPr defaultColWidth="9.140625" defaultRowHeight="12.75"/>
  <cols>
    <col min="1" max="1" width="9.140625" style="1" customWidth="1"/>
    <col min="2" max="2" width="37.00390625" style="56" bestFit="1" customWidth="1"/>
    <col min="3" max="3" width="12.00390625" style="1" bestFit="1" customWidth="1"/>
    <col min="4" max="4" width="9.140625" style="56" customWidth="1"/>
    <col min="5" max="5" width="9.140625" style="1" customWidth="1"/>
    <col min="6" max="6" width="9.140625" style="56" customWidth="1"/>
    <col min="9" max="9" width="10.00390625" style="0" bestFit="1" customWidth="1"/>
    <col min="10" max="10" width="12.421875" style="0" customWidth="1"/>
    <col min="11" max="11" width="12.00390625" style="0" bestFit="1" customWidth="1"/>
    <col min="13" max="13" width="12.8515625" style="0" customWidth="1"/>
  </cols>
  <sheetData>
    <row r="1" ht="12.75">
      <c r="A1" s="56"/>
    </row>
    <row r="2" ht="13.5" thickBot="1">
      <c r="A2" s="56"/>
    </row>
    <row r="3" spans="1:20" ht="13.5" customHeight="1" thickBot="1">
      <c r="A3" s="56"/>
      <c r="B3" s="337" t="s">
        <v>345</v>
      </c>
      <c r="C3" s="338"/>
      <c r="D3" s="338"/>
      <c r="E3" s="338"/>
      <c r="F3" s="338"/>
      <c r="G3" s="339"/>
      <c r="I3" s="291" t="s">
        <v>235</v>
      </c>
      <c r="J3" s="292"/>
      <c r="K3" s="292"/>
      <c r="L3" s="292"/>
      <c r="M3" s="292"/>
      <c r="N3" s="293"/>
      <c r="O3" s="160"/>
      <c r="P3" s="160"/>
      <c r="Q3" s="160"/>
      <c r="R3" s="160"/>
      <c r="S3" s="160"/>
      <c r="T3" s="3"/>
    </row>
    <row r="4" spans="2:20" ht="12.75" customHeight="1">
      <c r="B4" s="136"/>
      <c r="C4" s="146"/>
      <c r="D4" s="147"/>
      <c r="E4" s="137"/>
      <c r="F4" s="147"/>
      <c r="G4" s="138"/>
      <c r="I4" s="294"/>
      <c r="J4" s="295"/>
      <c r="K4" s="295"/>
      <c r="L4" s="295"/>
      <c r="M4" s="295"/>
      <c r="N4" s="273"/>
      <c r="O4" s="160"/>
      <c r="P4" s="160"/>
      <c r="Q4" s="160"/>
      <c r="R4" s="160"/>
      <c r="S4" s="160"/>
      <c r="T4" s="160"/>
    </row>
    <row r="5" spans="2:20" ht="12.75">
      <c r="B5" s="148"/>
      <c r="C5" s="133" t="s">
        <v>204</v>
      </c>
      <c r="D5" s="133" t="s">
        <v>205</v>
      </c>
      <c r="E5" s="133" t="s">
        <v>206</v>
      </c>
      <c r="F5" s="133" t="s">
        <v>207</v>
      </c>
      <c r="G5" s="149"/>
      <c r="I5" s="294"/>
      <c r="J5" s="295"/>
      <c r="K5" s="295"/>
      <c r="L5" s="295"/>
      <c r="M5" s="295"/>
      <c r="N5" s="273"/>
      <c r="O5" s="160"/>
      <c r="P5" s="160"/>
      <c r="Q5" s="160"/>
      <c r="R5" s="160"/>
      <c r="S5" s="160"/>
      <c r="T5" s="160"/>
    </row>
    <row r="6" spans="2:20" ht="12.75">
      <c r="B6" s="148" t="s">
        <v>208</v>
      </c>
      <c r="C6" s="132">
        <v>10</v>
      </c>
      <c r="D6" s="132">
        <v>10</v>
      </c>
      <c r="E6" s="132">
        <v>10</v>
      </c>
      <c r="F6" s="130">
        <f>C6*D6*E6</f>
        <v>1000</v>
      </c>
      <c r="G6" s="8" t="s">
        <v>87</v>
      </c>
      <c r="I6" s="294"/>
      <c r="J6" s="295"/>
      <c r="K6" s="295"/>
      <c r="L6" s="295"/>
      <c r="M6" s="295"/>
      <c r="N6" s="273"/>
      <c r="O6" s="160"/>
      <c r="P6" s="160"/>
      <c r="Q6" s="160"/>
      <c r="R6" s="160"/>
      <c r="S6" s="160"/>
      <c r="T6" s="160"/>
    </row>
    <row r="7" spans="2:20" ht="12.75">
      <c r="B7" s="148"/>
      <c r="C7" s="127"/>
      <c r="D7" s="133"/>
      <c r="E7" s="129"/>
      <c r="F7" s="133"/>
      <c r="G7" s="149"/>
      <c r="I7" s="294"/>
      <c r="J7" s="295"/>
      <c r="K7" s="295"/>
      <c r="L7" s="295"/>
      <c r="M7" s="295"/>
      <c r="N7" s="273"/>
      <c r="O7" s="160"/>
      <c r="P7" s="160"/>
      <c r="Q7" s="160"/>
      <c r="R7" s="160"/>
      <c r="S7" s="160"/>
      <c r="T7" s="160"/>
    </row>
    <row r="8" spans="2:20" ht="12.75">
      <c r="B8" s="148" t="s">
        <v>209</v>
      </c>
      <c r="C8" s="127"/>
      <c r="D8" s="133"/>
      <c r="E8" s="129"/>
      <c r="F8" s="129"/>
      <c r="G8" s="150"/>
      <c r="I8" s="294"/>
      <c r="J8" s="295"/>
      <c r="K8" s="295"/>
      <c r="L8" s="295"/>
      <c r="M8" s="295"/>
      <c r="N8" s="273"/>
      <c r="O8" s="160"/>
      <c r="P8" s="160"/>
      <c r="Q8" s="160"/>
      <c r="R8" s="160"/>
      <c r="S8" s="160"/>
      <c r="T8" s="160"/>
    </row>
    <row r="9" spans="2:20" ht="12.75">
      <c r="B9" s="148" t="s">
        <v>210</v>
      </c>
      <c r="C9" s="133" t="s">
        <v>145</v>
      </c>
      <c r="D9" s="132">
        <v>0</v>
      </c>
      <c r="E9" s="80" t="s">
        <v>76</v>
      </c>
      <c r="F9" s="131">
        <f>D9+273</f>
        <v>273</v>
      </c>
      <c r="G9" s="149" t="s">
        <v>0</v>
      </c>
      <c r="I9" s="294"/>
      <c r="J9" s="295"/>
      <c r="K9" s="295"/>
      <c r="L9" s="295"/>
      <c r="M9" s="295"/>
      <c r="N9" s="273"/>
      <c r="O9" s="160"/>
      <c r="P9" s="160"/>
      <c r="Q9" s="160"/>
      <c r="R9" s="160"/>
      <c r="S9" s="160"/>
      <c r="T9" s="160"/>
    </row>
    <row r="10" spans="2:20" ht="12.75">
      <c r="B10" s="148" t="s">
        <v>211</v>
      </c>
      <c r="C10" s="133" t="s">
        <v>146</v>
      </c>
      <c r="D10" s="132">
        <v>20</v>
      </c>
      <c r="E10" s="80" t="s">
        <v>76</v>
      </c>
      <c r="F10" s="131">
        <f>D10+273</f>
        <v>293</v>
      </c>
      <c r="G10" s="149" t="s">
        <v>0</v>
      </c>
      <c r="I10" s="294"/>
      <c r="J10" s="295"/>
      <c r="K10" s="295"/>
      <c r="L10" s="295"/>
      <c r="M10" s="295"/>
      <c r="N10" s="273"/>
      <c r="O10" s="19"/>
      <c r="P10" s="19"/>
      <c r="Q10" s="19"/>
      <c r="R10" s="19"/>
      <c r="S10" s="19"/>
      <c r="T10" s="3"/>
    </row>
    <row r="11" spans="2:20" ht="13.5" thickBot="1">
      <c r="B11" s="148"/>
      <c r="C11" s="127"/>
      <c r="D11" s="127"/>
      <c r="E11" s="127"/>
      <c r="F11" s="127"/>
      <c r="G11" s="151"/>
      <c r="I11" s="269"/>
      <c r="J11" s="270"/>
      <c r="K11" s="270"/>
      <c r="L11" s="270"/>
      <c r="M11" s="270"/>
      <c r="N11" s="271"/>
      <c r="O11" s="19"/>
      <c r="P11" s="42"/>
      <c r="Q11" s="19"/>
      <c r="R11" s="19"/>
      <c r="S11" s="42"/>
      <c r="T11" s="19"/>
    </row>
    <row r="12" spans="2:20" ht="12.75">
      <c r="B12" s="52" t="s">
        <v>340</v>
      </c>
      <c r="C12" s="42"/>
      <c r="D12" s="152"/>
      <c r="E12" s="153">
        <v>5</v>
      </c>
      <c r="F12" s="80"/>
      <c r="G12" s="149"/>
      <c r="I12" s="4"/>
      <c r="J12" s="5"/>
      <c r="K12" s="5"/>
      <c r="L12" s="5"/>
      <c r="M12" s="5"/>
      <c r="N12" s="6"/>
      <c r="O12" s="19"/>
      <c r="P12" s="19"/>
      <c r="Q12" s="19"/>
      <c r="R12" s="19"/>
      <c r="S12" s="19"/>
      <c r="T12" s="3"/>
    </row>
    <row r="13" spans="2:20" ht="12.75">
      <c r="B13" s="7" t="s">
        <v>213</v>
      </c>
      <c r="C13" s="127"/>
      <c r="D13" s="133"/>
      <c r="E13" s="215">
        <f>8314/VLOOKUP(E12,'Tabelle termodinamiche'!L7:P21,3)</f>
        <v>286.9865377977218</v>
      </c>
      <c r="F13" s="80" t="s">
        <v>19</v>
      </c>
      <c r="G13" s="149"/>
      <c r="I13" s="7"/>
      <c r="J13" s="3"/>
      <c r="K13" s="3"/>
      <c r="L13" s="3"/>
      <c r="M13" s="3"/>
      <c r="N13" s="8"/>
      <c r="O13" s="19"/>
      <c r="P13" s="42"/>
      <c r="Q13" s="19"/>
      <c r="R13" s="19"/>
      <c r="S13" s="19"/>
      <c r="T13" s="3"/>
    </row>
    <row r="14" spans="2:20" ht="12.75">
      <c r="B14" s="154" t="s">
        <v>1</v>
      </c>
      <c r="C14" s="129"/>
      <c r="D14" s="129"/>
      <c r="E14" s="128">
        <v>101325</v>
      </c>
      <c r="F14" s="3" t="s">
        <v>6</v>
      </c>
      <c r="G14" s="149"/>
      <c r="I14" s="7"/>
      <c r="J14" s="3"/>
      <c r="K14" s="3"/>
      <c r="L14" s="3"/>
      <c r="M14" s="3"/>
      <c r="N14" s="8"/>
      <c r="O14" s="19"/>
      <c r="P14" s="19"/>
      <c r="Q14" s="19"/>
      <c r="R14" s="19"/>
      <c r="S14" s="19"/>
      <c r="T14" s="3"/>
    </row>
    <row r="15" spans="2:19" ht="12.75">
      <c r="B15" s="7" t="s">
        <v>129</v>
      </c>
      <c r="C15" s="127"/>
      <c r="D15" s="133"/>
      <c r="E15" s="214">
        <f>VLOOKUP(E12,'Tabelle termodinamiche'!L7:P21,5)</f>
        <v>1005</v>
      </c>
      <c r="F15" s="80" t="s">
        <v>19</v>
      </c>
      <c r="G15" s="149"/>
      <c r="I15" s="342" t="s">
        <v>224</v>
      </c>
      <c r="J15" s="343"/>
      <c r="K15" s="163">
        <v>600</v>
      </c>
      <c r="L15" s="2" t="s">
        <v>341</v>
      </c>
      <c r="M15" s="3"/>
      <c r="N15" s="22"/>
      <c r="O15" s="19"/>
      <c r="P15" s="344"/>
      <c r="Q15" s="344"/>
      <c r="R15" s="19"/>
      <c r="S15" s="19"/>
    </row>
    <row r="16" spans="2:19" ht="12.75">
      <c r="B16" s="148"/>
      <c r="C16" s="127"/>
      <c r="D16" s="133"/>
      <c r="E16" s="129"/>
      <c r="F16" s="133"/>
      <c r="G16" s="149"/>
      <c r="I16" s="342" t="s">
        <v>222</v>
      </c>
      <c r="J16" s="343"/>
      <c r="K16" s="163">
        <v>8</v>
      </c>
      <c r="L16" s="2" t="s">
        <v>341</v>
      </c>
      <c r="M16" s="161"/>
      <c r="N16" s="22"/>
      <c r="O16" s="3"/>
      <c r="P16" s="3"/>
      <c r="Q16" s="3"/>
      <c r="R16" s="3"/>
      <c r="S16" s="3"/>
    </row>
    <row r="17" spans="2:19" ht="12.75">
      <c r="B17" s="148"/>
      <c r="C17" s="127"/>
      <c r="D17" s="133"/>
      <c r="E17" s="129"/>
      <c r="F17" s="133"/>
      <c r="G17" s="149"/>
      <c r="I17" s="342" t="s">
        <v>223</v>
      </c>
      <c r="J17" s="343"/>
      <c r="K17" s="165">
        <f>K15-K16</f>
        <v>592</v>
      </c>
      <c r="L17" s="2" t="s">
        <v>341</v>
      </c>
      <c r="M17" s="3"/>
      <c r="N17" s="22"/>
      <c r="O17" s="3"/>
      <c r="P17" s="3"/>
      <c r="Q17" s="3"/>
      <c r="R17" s="3"/>
      <c r="S17" s="3"/>
    </row>
    <row r="18" spans="2:19" ht="12.75">
      <c r="B18" s="7" t="s">
        <v>214</v>
      </c>
      <c r="C18" s="142">
        <f>(E14*F6)/(E13*F9)</f>
        <v>1293.2796395329474</v>
      </c>
      <c r="D18" s="129" t="s">
        <v>2</v>
      </c>
      <c r="E18" s="129"/>
      <c r="F18" s="133"/>
      <c r="G18" s="149"/>
      <c r="I18" s="342" t="s">
        <v>226</v>
      </c>
      <c r="J18" s="343"/>
      <c r="K18" s="163">
        <v>20</v>
      </c>
      <c r="L18" s="166" t="s">
        <v>76</v>
      </c>
      <c r="M18" s="161"/>
      <c r="N18" s="22"/>
      <c r="O18" s="3"/>
      <c r="P18" s="3"/>
      <c r="Q18" s="3"/>
      <c r="R18" s="3"/>
      <c r="S18" s="3"/>
    </row>
    <row r="19" spans="2:19" ht="12.75">
      <c r="B19" s="148"/>
      <c r="C19" s="127"/>
      <c r="D19" s="133"/>
      <c r="E19" s="129"/>
      <c r="F19" s="133"/>
      <c r="G19" s="149"/>
      <c r="I19" s="342" t="s">
        <v>225</v>
      </c>
      <c r="J19" s="343"/>
      <c r="K19" s="163">
        <v>0</v>
      </c>
      <c r="L19" s="166" t="s">
        <v>76</v>
      </c>
      <c r="M19" s="3"/>
      <c r="N19" s="22"/>
      <c r="O19" s="3"/>
      <c r="P19" s="3"/>
      <c r="Q19" s="3"/>
      <c r="R19" s="3"/>
      <c r="S19" s="3"/>
    </row>
    <row r="20" spans="2:19" ht="12.75">
      <c r="B20" s="7" t="s">
        <v>215</v>
      </c>
      <c r="C20" s="145">
        <f>C18*E15*(F10-F9)</f>
        <v>25994920.75461224</v>
      </c>
      <c r="D20" s="129" t="s">
        <v>74</v>
      </c>
      <c r="E20" s="129"/>
      <c r="F20" s="133"/>
      <c r="G20" s="149"/>
      <c r="I20" s="342" t="s">
        <v>227</v>
      </c>
      <c r="J20" s="343"/>
      <c r="K20" s="163">
        <v>0.5</v>
      </c>
      <c r="L20" s="164"/>
      <c r="M20" s="161"/>
      <c r="N20" s="22"/>
      <c r="O20" s="3"/>
      <c r="P20" s="3"/>
      <c r="Q20" s="3"/>
      <c r="R20" s="3"/>
      <c r="S20" s="3"/>
    </row>
    <row r="21" spans="2:19" ht="12.75">
      <c r="B21" s="148"/>
      <c r="C21" s="127"/>
      <c r="D21" s="133"/>
      <c r="E21" s="129"/>
      <c r="F21" s="133"/>
      <c r="G21" s="149"/>
      <c r="I21" s="342" t="s">
        <v>228</v>
      </c>
      <c r="J21" s="343"/>
      <c r="K21" s="163">
        <v>2</v>
      </c>
      <c r="L21" s="2"/>
      <c r="M21" s="3"/>
      <c r="N21" s="8"/>
      <c r="O21" s="3"/>
      <c r="P21" s="3"/>
      <c r="Q21" s="3"/>
      <c r="R21" s="3"/>
      <c r="S21" s="3"/>
    </row>
    <row r="22" spans="2:19" ht="12.75">
      <c r="B22" s="7" t="s">
        <v>212</v>
      </c>
      <c r="C22" s="128">
        <v>9000</v>
      </c>
      <c r="D22" s="129" t="s">
        <v>75</v>
      </c>
      <c r="E22" s="129"/>
      <c r="F22" s="133"/>
      <c r="G22" s="149"/>
      <c r="I22" s="342" t="s">
        <v>231</v>
      </c>
      <c r="J22" s="343"/>
      <c r="K22" s="167">
        <v>0.14</v>
      </c>
      <c r="L22" s="168" t="s">
        <v>217</v>
      </c>
      <c r="M22" s="3"/>
      <c r="N22" s="8"/>
      <c r="O22" s="3"/>
      <c r="P22" s="3"/>
      <c r="Q22" s="3"/>
      <c r="R22" s="3"/>
      <c r="S22" s="3"/>
    </row>
    <row r="23" spans="2:19" ht="12.75">
      <c r="B23" s="148"/>
      <c r="C23" s="127"/>
      <c r="D23" s="129"/>
      <c r="E23" s="129"/>
      <c r="F23" s="133"/>
      <c r="G23" s="149"/>
      <c r="I23" s="347" t="s">
        <v>230</v>
      </c>
      <c r="J23" s="348"/>
      <c r="K23" s="171">
        <f>(K20*K17+K21*K16)*(K18-K19)</f>
        <v>6240</v>
      </c>
      <c r="L23" s="169" t="s">
        <v>75</v>
      </c>
      <c r="M23" s="3"/>
      <c r="N23" s="8"/>
      <c r="O23" s="3"/>
      <c r="P23" s="3"/>
      <c r="Q23" s="3"/>
      <c r="R23" s="3"/>
      <c r="S23" s="3"/>
    </row>
    <row r="24" spans="2:19" ht="12.75">
      <c r="B24" s="7" t="s">
        <v>216</v>
      </c>
      <c r="C24" s="145">
        <f>C20/C22</f>
        <v>2888.324528290249</v>
      </c>
      <c r="D24" s="129" t="s">
        <v>157</v>
      </c>
      <c r="E24" s="129"/>
      <c r="F24" s="133"/>
      <c r="G24" s="149"/>
      <c r="I24" s="340" t="s">
        <v>229</v>
      </c>
      <c r="J24" s="341"/>
      <c r="K24" s="172">
        <v>15552000</v>
      </c>
      <c r="L24" s="170" t="s">
        <v>232</v>
      </c>
      <c r="M24" s="3"/>
      <c r="N24" s="8"/>
      <c r="O24" s="3"/>
      <c r="P24" s="3"/>
      <c r="Q24" s="3"/>
      <c r="R24" s="3"/>
      <c r="S24" s="3"/>
    </row>
    <row r="25" spans="2:19" ht="12.75">
      <c r="B25" s="148"/>
      <c r="C25" s="142">
        <f>C24/60</f>
        <v>48.13874213817082</v>
      </c>
      <c r="D25" s="129" t="s">
        <v>158</v>
      </c>
      <c r="E25" s="129"/>
      <c r="F25" s="133"/>
      <c r="G25" s="149"/>
      <c r="I25" s="340" t="s">
        <v>233</v>
      </c>
      <c r="J25" s="341"/>
      <c r="K25" s="165">
        <f>K23*K24/1000</f>
        <v>97044480</v>
      </c>
      <c r="L25" s="2" t="s">
        <v>120</v>
      </c>
      <c r="M25" s="165">
        <f>K25/3600</f>
        <v>26956.8</v>
      </c>
      <c r="N25" s="173" t="s">
        <v>124</v>
      </c>
      <c r="O25" s="3"/>
      <c r="P25" s="3"/>
      <c r="Q25" s="3"/>
      <c r="R25" s="3"/>
      <c r="S25" s="3"/>
    </row>
    <row r="26" spans="2:19" ht="13.5" thickBot="1">
      <c r="B26" s="148"/>
      <c r="C26" s="127"/>
      <c r="D26" s="133"/>
      <c r="E26" s="129"/>
      <c r="F26" s="133"/>
      <c r="G26" s="149"/>
      <c r="I26" s="345" t="s">
        <v>234</v>
      </c>
      <c r="J26" s="346"/>
      <c r="K26" s="176">
        <f>M25*K22</f>
        <v>3773.952</v>
      </c>
      <c r="L26" s="174" t="s">
        <v>218</v>
      </c>
      <c r="M26" s="12"/>
      <c r="N26" s="175"/>
      <c r="O26" s="162"/>
      <c r="P26" s="162"/>
      <c r="Q26" s="162"/>
      <c r="R26" s="162"/>
      <c r="S26" s="162"/>
    </row>
    <row r="27" spans="2:19" ht="12.75">
      <c r="B27" s="7" t="s">
        <v>215</v>
      </c>
      <c r="C27" s="142">
        <f>C20/3600000</f>
        <v>7.220811320725622</v>
      </c>
      <c r="D27" s="80" t="s">
        <v>124</v>
      </c>
      <c r="E27" s="140"/>
      <c r="F27" s="80"/>
      <c r="G27" s="8"/>
      <c r="O27" s="162"/>
      <c r="P27" s="162"/>
      <c r="Q27" s="162"/>
      <c r="R27" s="162"/>
      <c r="S27" s="162"/>
    </row>
    <row r="28" spans="2:19" ht="12.75">
      <c r="B28" s="65" t="s">
        <v>219</v>
      </c>
      <c r="C28" s="132">
        <v>0.25</v>
      </c>
      <c r="D28" s="80" t="s">
        <v>217</v>
      </c>
      <c r="E28" s="129"/>
      <c r="F28" s="133"/>
      <c r="G28" s="149"/>
      <c r="O28" s="3"/>
      <c r="P28" s="3"/>
      <c r="Q28" s="3"/>
      <c r="R28" s="3"/>
      <c r="S28" s="3"/>
    </row>
    <row r="29" spans="2:19" ht="12.75">
      <c r="B29" s="7" t="s">
        <v>220</v>
      </c>
      <c r="C29" s="142">
        <f>C28*C27</f>
        <v>1.8052028301814056</v>
      </c>
      <c r="D29" s="80" t="s">
        <v>218</v>
      </c>
      <c r="E29" s="129"/>
      <c r="F29" s="133"/>
      <c r="G29" s="149"/>
      <c r="O29" s="3"/>
      <c r="P29" s="3"/>
      <c r="Q29" s="3"/>
      <c r="R29" s="3"/>
      <c r="S29" s="3"/>
    </row>
    <row r="30" spans="2:19" ht="12.75">
      <c r="B30" s="65" t="s">
        <v>473</v>
      </c>
      <c r="C30" s="262">
        <f>C18*E13*F10/E14</f>
        <v>1073.2600732600733</v>
      </c>
      <c r="D30" s="80" t="s">
        <v>77</v>
      </c>
      <c r="E30" s="140"/>
      <c r="F30" s="80"/>
      <c r="G30" s="8"/>
      <c r="O30" s="3"/>
      <c r="P30" s="3"/>
      <c r="Q30" s="3"/>
      <c r="R30" s="3"/>
      <c r="S30" s="3"/>
    </row>
    <row r="31" spans="2:7" ht="12.75">
      <c r="B31" s="65" t="s">
        <v>474</v>
      </c>
      <c r="C31" s="263">
        <f>E14*(C30-F6)</f>
        <v>7423076.923076931</v>
      </c>
      <c r="D31" s="80" t="s">
        <v>74</v>
      </c>
      <c r="E31" s="140"/>
      <c r="F31" s="80"/>
      <c r="G31" s="8"/>
    </row>
    <row r="32" spans="2:7" ht="13.5" thickBot="1">
      <c r="B32" s="155"/>
      <c r="C32" s="156"/>
      <c r="D32" s="157"/>
      <c r="E32" s="158"/>
      <c r="F32" s="157"/>
      <c r="G32" s="159"/>
    </row>
  </sheetData>
  <mergeCells count="15">
    <mergeCell ref="B3:G3"/>
    <mergeCell ref="P15:Q15"/>
    <mergeCell ref="I26:J26"/>
    <mergeCell ref="I15:J15"/>
    <mergeCell ref="I16:J16"/>
    <mergeCell ref="I17:J17"/>
    <mergeCell ref="I18:J18"/>
    <mergeCell ref="I19:J19"/>
    <mergeCell ref="I22:J22"/>
    <mergeCell ref="I23:J23"/>
    <mergeCell ref="I3:N11"/>
    <mergeCell ref="I24:J24"/>
    <mergeCell ref="I25:J25"/>
    <mergeCell ref="I21:J21"/>
    <mergeCell ref="I20:J20"/>
  </mergeCells>
  <printOptions/>
  <pageMargins left="0.75" right="0.75" top="1" bottom="1" header="0.5" footer="0.5"/>
  <pageSetup horizontalDpi="300" verticalDpi="300" orientation="portrait" paperSize="9" r:id="rId5"/>
  <legacyDrawing r:id="rId4"/>
  <oleObjects>
    <oleObject progId="MathType 5.0 Equation" shapeId="273757" r:id="rId2"/>
    <oleObject progId="MathType 5.0 Equation" shapeId="273758" r:id="rId3"/>
  </oleObjects>
</worksheet>
</file>

<file path=xl/worksheets/sheet15.xml><?xml version="1.0" encoding="utf-8"?>
<worksheet xmlns="http://schemas.openxmlformats.org/spreadsheetml/2006/main" xmlns:r="http://schemas.openxmlformats.org/officeDocument/2006/relationships">
  <dimension ref="B3:M50"/>
  <sheetViews>
    <sheetView workbookViewId="0" topLeftCell="A1">
      <selection activeCell="A4" sqref="A4"/>
    </sheetView>
  </sheetViews>
  <sheetFormatPr defaultColWidth="9.140625" defaultRowHeight="12.75"/>
  <cols>
    <col min="2" max="2" width="10.00390625" style="0" bestFit="1" customWidth="1"/>
    <col min="3" max="3" width="24.7109375" style="0" customWidth="1"/>
    <col min="4" max="4" width="12.00390625" style="0" bestFit="1" customWidth="1"/>
    <col min="6" max="6" width="12.8515625" style="0" customWidth="1"/>
  </cols>
  <sheetData>
    <row r="2" ht="13.5" thickBot="1"/>
    <row r="3" spans="2:13" ht="12.75">
      <c r="B3" s="291" t="s">
        <v>390</v>
      </c>
      <c r="C3" s="292"/>
      <c r="D3" s="292"/>
      <c r="E3" s="292"/>
      <c r="F3" s="292"/>
      <c r="G3" s="293"/>
      <c r="H3" s="160"/>
      <c r="I3" s="160"/>
      <c r="J3" s="160"/>
      <c r="K3" s="160"/>
      <c r="L3" s="160"/>
      <c r="M3" s="160"/>
    </row>
    <row r="4" spans="2:13" ht="12.75">
      <c r="B4" s="294"/>
      <c r="C4" s="295"/>
      <c r="D4" s="295"/>
      <c r="E4" s="295"/>
      <c r="F4" s="295"/>
      <c r="G4" s="273"/>
      <c r="H4" s="160"/>
      <c r="I4" s="160"/>
      <c r="J4" s="160"/>
      <c r="K4" s="160"/>
      <c r="L4" s="160"/>
      <c r="M4" s="160"/>
    </row>
    <row r="5" spans="2:13" ht="12.75">
      <c r="B5" s="294"/>
      <c r="C5" s="295"/>
      <c r="D5" s="295"/>
      <c r="E5" s="295"/>
      <c r="F5" s="295"/>
      <c r="G5" s="273"/>
      <c r="H5" s="160"/>
      <c r="I5" s="160"/>
      <c r="J5" s="160"/>
      <c r="K5" s="160"/>
      <c r="L5" s="160"/>
      <c r="M5" s="160"/>
    </row>
    <row r="6" spans="2:13" ht="12.75">
      <c r="B6" s="294"/>
      <c r="C6" s="295"/>
      <c r="D6" s="295"/>
      <c r="E6" s="295"/>
      <c r="F6" s="295"/>
      <c r="G6" s="273"/>
      <c r="H6" s="19"/>
      <c r="I6" s="19"/>
      <c r="J6" s="19"/>
      <c r="K6" s="19"/>
      <c r="L6" s="19"/>
      <c r="M6" s="3"/>
    </row>
    <row r="7" spans="2:13" ht="13.5" thickBot="1">
      <c r="B7" s="269"/>
      <c r="C7" s="270"/>
      <c r="D7" s="270"/>
      <c r="E7" s="270"/>
      <c r="F7" s="270"/>
      <c r="G7" s="271"/>
      <c r="H7" s="19"/>
      <c r="I7" s="42"/>
      <c r="J7" s="19"/>
      <c r="K7" s="19"/>
      <c r="L7" s="42"/>
      <c r="M7" s="19"/>
    </row>
    <row r="8" spans="2:13" ht="12.75">
      <c r="B8" s="4"/>
      <c r="C8" s="5"/>
      <c r="D8" s="5"/>
      <c r="E8" s="5"/>
      <c r="F8" s="5"/>
      <c r="G8" s="6"/>
      <c r="H8" s="19"/>
      <c r="I8" s="19"/>
      <c r="J8" s="19"/>
      <c r="K8" s="19"/>
      <c r="L8" s="19"/>
      <c r="M8" s="3"/>
    </row>
    <row r="9" spans="2:13" ht="13.5" thickBot="1">
      <c r="B9" s="7"/>
      <c r="C9" s="290" t="s">
        <v>391</v>
      </c>
      <c r="D9" s="290"/>
      <c r="E9" s="163">
        <v>10</v>
      </c>
      <c r="F9" s="2" t="s">
        <v>87</v>
      </c>
      <c r="G9" s="8"/>
      <c r="H9" s="19"/>
      <c r="I9" s="19"/>
      <c r="J9" s="19"/>
      <c r="K9" s="19"/>
      <c r="L9" s="19"/>
      <c r="M9" s="3"/>
    </row>
    <row r="10" spans="2:12" ht="12.75">
      <c r="B10" s="7"/>
      <c r="C10" s="290" t="s">
        <v>392</v>
      </c>
      <c r="D10" s="290"/>
      <c r="E10" s="163">
        <v>30</v>
      </c>
      <c r="F10" s="166" t="s">
        <v>76</v>
      </c>
      <c r="G10" s="22"/>
      <c r="H10" s="19"/>
      <c r="I10" s="306" t="s">
        <v>336</v>
      </c>
      <c r="J10" s="307"/>
      <c r="K10" s="19"/>
      <c r="L10" s="19"/>
    </row>
    <row r="11" spans="2:12" ht="12.75">
      <c r="B11" s="7"/>
      <c r="C11" s="290" t="s">
        <v>393</v>
      </c>
      <c r="D11" s="290"/>
      <c r="E11" s="163">
        <v>70</v>
      </c>
      <c r="F11" s="166" t="s">
        <v>271</v>
      </c>
      <c r="G11" s="22"/>
      <c r="H11" s="3"/>
      <c r="I11" s="300"/>
      <c r="J11" s="301"/>
      <c r="K11" s="3"/>
      <c r="L11" s="3"/>
    </row>
    <row r="12" spans="2:12" ht="12.75">
      <c r="B12" s="7"/>
      <c r="C12" s="290" t="s">
        <v>394</v>
      </c>
      <c r="D12" s="290"/>
      <c r="E12" s="163">
        <v>66</v>
      </c>
      <c r="F12" s="166" t="s">
        <v>271</v>
      </c>
      <c r="G12" s="22"/>
      <c r="H12" s="3"/>
      <c r="I12" s="308" t="s">
        <v>337</v>
      </c>
      <c r="J12" s="309"/>
      <c r="K12" s="3"/>
      <c r="L12" s="3"/>
    </row>
    <row r="13" spans="2:12" ht="12.75">
      <c r="B13" s="7"/>
      <c r="C13" s="290" t="s">
        <v>403</v>
      </c>
      <c r="D13" s="290"/>
      <c r="E13" s="165">
        <f>VLOOKUP(E10,'Tabelle termodinamiche'!B6:J754,2)</f>
        <v>0.042462</v>
      </c>
      <c r="F13" s="166" t="s">
        <v>7</v>
      </c>
      <c r="G13" s="22"/>
      <c r="H13" s="3"/>
      <c r="I13" s="300"/>
      <c r="J13" s="301"/>
      <c r="K13" s="3"/>
      <c r="L13" s="3"/>
    </row>
    <row r="14" spans="2:12" ht="12.75">
      <c r="B14" s="7"/>
      <c r="C14" s="290" t="s">
        <v>395</v>
      </c>
      <c r="D14" s="290"/>
      <c r="E14" s="165">
        <f>E13*(E11/100)</f>
        <v>0.029723399999999997</v>
      </c>
      <c r="F14" s="164" t="s">
        <v>7</v>
      </c>
      <c r="G14" s="22"/>
      <c r="H14" s="3"/>
      <c r="I14" s="349" t="s">
        <v>402</v>
      </c>
      <c r="J14" s="277"/>
      <c r="K14" s="3"/>
      <c r="L14" s="3"/>
    </row>
    <row r="15" spans="2:12" ht="13.5" thickBot="1">
      <c r="B15" s="7"/>
      <c r="C15" s="290" t="s">
        <v>396</v>
      </c>
      <c r="D15" s="290"/>
      <c r="E15" s="182">
        <f>101325-(E14*100000)</f>
        <v>98352.66</v>
      </c>
      <c r="F15" s="2" t="s">
        <v>6</v>
      </c>
      <c r="G15" s="22"/>
      <c r="H15" s="3"/>
      <c r="I15" s="304"/>
      <c r="J15" s="305"/>
      <c r="K15" s="3"/>
      <c r="L15" s="3"/>
    </row>
    <row r="16" spans="2:12" ht="12.75">
      <c r="B16" s="7"/>
      <c r="C16" s="290" t="s">
        <v>397</v>
      </c>
      <c r="D16" s="290"/>
      <c r="E16" s="246">
        <f>E15*E9/((273+E10)*(8314/28.97))</f>
        <v>11.310503973972091</v>
      </c>
      <c r="F16" s="168" t="s">
        <v>2</v>
      </c>
      <c r="G16" s="8"/>
      <c r="H16" s="3"/>
      <c r="I16" s="3"/>
      <c r="J16" s="3"/>
      <c r="K16" s="3"/>
      <c r="L16" s="3"/>
    </row>
    <row r="17" spans="2:12" ht="13.5" thickBot="1">
      <c r="B17" s="7"/>
      <c r="C17" s="348" t="s">
        <v>398</v>
      </c>
      <c r="D17" s="348"/>
      <c r="E17" s="171">
        <f>VLOOKUP(E10,'Tabelle termodinamiche'!B6:J754,6)</f>
        <v>125.7</v>
      </c>
      <c r="F17" s="169" t="s">
        <v>384</v>
      </c>
      <c r="G17" s="8"/>
      <c r="H17" s="3"/>
      <c r="I17" s="3"/>
      <c r="J17" s="3"/>
      <c r="K17" s="3"/>
      <c r="L17" s="3"/>
    </row>
    <row r="18" spans="2:12" ht="12.75">
      <c r="B18" s="7"/>
      <c r="C18" s="348" t="s">
        <v>100</v>
      </c>
      <c r="D18" s="348"/>
      <c r="E18" s="247">
        <f>0.622*(E11/100)*E13/((1.01325)-((E11/100)*E13))</f>
        <v>0.018797615438158964</v>
      </c>
      <c r="F18" s="170"/>
      <c r="G18" s="8"/>
      <c r="H18" s="3"/>
      <c r="I18" s="350" t="s">
        <v>482</v>
      </c>
      <c r="J18" s="351"/>
      <c r="K18" s="3"/>
      <c r="L18" s="3"/>
    </row>
    <row r="19" spans="2:12" ht="12.75">
      <c r="B19" s="7"/>
      <c r="C19" s="348" t="s">
        <v>399</v>
      </c>
      <c r="D19" s="348"/>
      <c r="E19" s="183">
        <f>E10+E18*(2500+1.9*E10)</f>
        <v>78.06550267537247</v>
      </c>
      <c r="F19" s="169" t="s">
        <v>384</v>
      </c>
      <c r="G19" s="8"/>
      <c r="H19" s="3"/>
      <c r="I19" s="352"/>
      <c r="J19" s="353"/>
      <c r="K19" s="3"/>
      <c r="L19" s="3"/>
    </row>
    <row r="20" spans="2:12" ht="12.75">
      <c r="B20" s="7"/>
      <c r="C20" s="290" t="s">
        <v>406</v>
      </c>
      <c r="D20" s="290"/>
      <c r="E20" s="248">
        <v>31</v>
      </c>
      <c r="F20" s="169" t="s">
        <v>76</v>
      </c>
      <c r="G20" s="250"/>
      <c r="H20" s="3"/>
      <c r="I20" s="352"/>
      <c r="J20" s="353"/>
      <c r="K20" s="3"/>
      <c r="L20" s="3"/>
    </row>
    <row r="21" spans="2:12" ht="12.75">
      <c r="B21" s="7"/>
      <c r="C21" s="290" t="s">
        <v>404</v>
      </c>
      <c r="D21" s="290"/>
      <c r="E21" s="165">
        <f>VLOOKUP(E20,'Tabelle termodinamiche'!B6:J754,2)</f>
        <v>0.044961</v>
      </c>
      <c r="F21" s="166" t="s">
        <v>7</v>
      </c>
      <c r="G21" s="250"/>
      <c r="H21" s="3"/>
      <c r="I21" s="352"/>
      <c r="J21" s="353"/>
      <c r="K21" s="3"/>
      <c r="L21" s="3"/>
    </row>
    <row r="22" spans="2:12" ht="13.5" thickBot="1">
      <c r="B22" s="7"/>
      <c r="C22" s="290" t="s">
        <v>104</v>
      </c>
      <c r="D22" s="290"/>
      <c r="E22" s="185">
        <f>0.622*(E12/100)*E21/((1.01325)-((E12/100)*E13))</f>
        <v>0.018734185816706984</v>
      </c>
      <c r="F22" s="169"/>
      <c r="G22" s="250"/>
      <c r="H22" s="3"/>
      <c r="I22" s="354"/>
      <c r="J22" s="355"/>
      <c r="K22" s="3"/>
      <c r="L22" s="3"/>
    </row>
    <row r="23" spans="2:12" ht="12.75">
      <c r="B23" s="7"/>
      <c r="C23" s="348" t="s">
        <v>400</v>
      </c>
      <c r="D23" s="348"/>
      <c r="E23" s="197">
        <f>E16*(E22-E18)</f>
        <v>-0.0007174209855001699</v>
      </c>
      <c r="F23" s="169" t="s">
        <v>2</v>
      </c>
      <c r="G23" s="250"/>
      <c r="H23" s="3"/>
      <c r="I23" s="3"/>
      <c r="J23" s="3"/>
      <c r="K23" s="3"/>
      <c r="L23" s="3"/>
    </row>
    <row r="24" spans="2:12" ht="12.75">
      <c r="B24" s="7"/>
      <c r="C24" s="348" t="s">
        <v>405</v>
      </c>
      <c r="D24" s="348"/>
      <c r="E24" s="249">
        <f>E19+(E23/E16)*E17</f>
        <v>78.05752957195595</v>
      </c>
      <c r="F24" s="169" t="s">
        <v>384</v>
      </c>
      <c r="G24" s="250"/>
      <c r="H24" s="3"/>
      <c r="I24" s="3"/>
      <c r="J24" s="3"/>
      <c r="K24" s="3"/>
      <c r="L24" s="3"/>
    </row>
    <row r="25" spans="2:12" ht="12.75">
      <c r="B25" s="7"/>
      <c r="C25" s="290" t="s">
        <v>401</v>
      </c>
      <c r="D25" s="290"/>
      <c r="E25" s="183">
        <f>(E24-(E22*2500))/(1+1.9*E22)</f>
        <v>30.148915788148393</v>
      </c>
      <c r="F25" s="169" t="s">
        <v>76</v>
      </c>
      <c r="G25" s="251"/>
      <c r="H25" s="162"/>
      <c r="I25" s="162"/>
      <c r="J25" s="162"/>
      <c r="K25" s="162"/>
      <c r="L25" s="162"/>
    </row>
    <row r="26" spans="2:12" ht="13.5" thickBot="1">
      <c r="B26" s="11"/>
      <c r="C26" s="252"/>
      <c r="D26" s="252"/>
      <c r="E26" s="12"/>
      <c r="F26" s="12"/>
      <c r="G26" s="13"/>
      <c r="H26" s="162"/>
      <c r="I26" s="162"/>
      <c r="J26" s="162"/>
      <c r="K26" s="162"/>
      <c r="L26" s="162"/>
    </row>
    <row r="27" spans="3:12" ht="13.5" thickBot="1">
      <c r="C27" s="260"/>
      <c r="D27" s="260"/>
      <c r="E27" s="3"/>
      <c r="F27" s="3"/>
      <c r="G27" s="3"/>
      <c r="H27" s="3"/>
      <c r="I27" s="3"/>
      <c r="J27" s="3"/>
      <c r="K27" s="3"/>
      <c r="L27" s="3"/>
    </row>
    <row r="28" spans="2:12" ht="12.75" customHeight="1">
      <c r="B28" s="291" t="s">
        <v>455</v>
      </c>
      <c r="C28" s="292"/>
      <c r="D28" s="292"/>
      <c r="E28" s="292"/>
      <c r="F28" s="292"/>
      <c r="G28" s="293"/>
      <c r="H28" s="3"/>
      <c r="I28" s="3"/>
      <c r="J28" s="3"/>
      <c r="K28" s="3"/>
      <c r="L28" s="3"/>
    </row>
    <row r="29" spans="2:12" ht="12.75">
      <c r="B29" s="294"/>
      <c r="C29" s="295"/>
      <c r="D29" s="295"/>
      <c r="E29" s="295"/>
      <c r="F29" s="295"/>
      <c r="G29" s="273"/>
      <c r="H29" s="3"/>
      <c r="I29" s="3"/>
      <c r="J29" s="3"/>
      <c r="K29" s="3"/>
      <c r="L29" s="3"/>
    </row>
    <row r="30" spans="2:7" ht="12.75">
      <c r="B30" s="294"/>
      <c r="C30" s="295"/>
      <c r="D30" s="295"/>
      <c r="E30" s="295"/>
      <c r="F30" s="295"/>
      <c r="G30" s="273"/>
    </row>
    <row r="31" spans="2:7" ht="12.75">
      <c r="B31" s="294"/>
      <c r="C31" s="295"/>
      <c r="D31" s="295"/>
      <c r="E31" s="295"/>
      <c r="F31" s="295"/>
      <c r="G31" s="273"/>
    </row>
    <row r="32" spans="2:7" ht="13.5" thickBot="1">
      <c r="B32" s="269"/>
      <c r="C32" s="270"/>
      <c r="D32" s="270"/>
      <c r="E32" s="270"/>
      <c r="F32" s="270"/>
      <c r="G32" s="271"/>
    </row>
    <row r="33" spans="2:7" ht="12.75">
      <c r="B33" s="4"/>
      <c r="C33" s="5"/>
      <c r="D33" s="5"/>
      <c r="E33" s="5"/>
      <c r="F33" s="5"/>
      <c r="G33" s="6"/>
    </row>
    <row r="34" spans="2:7" ht="12.75">
      <c r="B34" s="7"/>
      <c r="C34" s="290" t="s">
        <v>456</v>
      </c>
      <c r="D34" s="290"/>
      <c r="E34" s="163">
        <v>0.08</v>
      </c>
      <c r="F34" s="2" t="s">
        <v>87</v>
      </c>
      <c r="G34" s="8"/>
    </row>
    <row r="35" spans="2:7" ht="12.75">
      <c r="B35" s="7"/>
      <c r="C35" s="290" t="s">
        <v>463</v>
      </c>
      <c r="D35" s="290"/>
      <c r="E35" s="163">
        <v>1</v>
      </c>
      <c r="F35" s="2" t="s">
        <v>7</v>
      </c>
      <c r="G35" s="8"/>
    </row>
    <row r="36" spans="2:7" ht="12.75">
      <c r="B36" s="7"/>
      <c r="C36" s="290" t="s">
        <v>457</v>
      </c>
      <c r="D36" s="290"/>
      <c r="E36" s="163">
        <v>100</v>
      </c>
      <c r="F36" s="2" t="s">
        <v>76</v>
      </c>
      <c r="G36" s="8"/>
    </row>
    <row r="37" spans="2:7" ht="12.75">
      <c r="B37" s="7"/>
      <c r="C37" s="290" t="s">
        <v>458</v>
      </c>
      <c r="D37" s="290"/>
      <c r="E37" s="163">
        <v>72</v>
      </c>
      <c r="F37" s="2" t="s">
        <v>76</v>
      </c>
      <c r="G37" s="8"/>
    </row>
    <row r="38" spans="2:7" ht="12.75">
      <c r="B38" s="7"/>
      <c r="C38" s="290" t="s">
        <v>459</v>
      </c>
      <c r="D38" s="290"/>
      <c r="E38" s="165">
        <f>VLOOKUP(E36,'Tabelle termodinamiche'!B6:J754,5)</f>
        <v>1.673</v>
      </c>
      <c r="F38" s="2" t="s">
        <v>460</v>
      </c>
      <c r="G38" s="8"/>
    </row>
    <row r="39" spans="2:7" ht="12.75">
      <c r="B39" s="7"/>
      <c r="C39" s="290" t="s">
        <v>471</v>
      </c>
      <c r="D39" s="290"/>
      <c r="E39" s="165">
        <f>VLOOKUP(E36,'Tabelle termodinamiche'!B6:J754,8)</f>
        <v>2676</v>
      </c>
      <c r="F39" s="2" t="s">
        <v>384</v>
      </c>
      <c r="G39" s="8"/>
    </row>
    <row r="40" spans="2:7" ht="12.75">
      <c r="B40" s="7"/>
      <c r="C40" s="290" t="s">
        <v>461</v>
      </c>
      <c r="D40" s="290"/>
      <c r="E40" s="197">
        <f>E34/E38</f>
        <v>0.04781829049611477</v>
      </c>
      <c r="F40" s="2" t="s">
        <v>2</v>
      </c>
      <c r="G40" s="8"/>
    </row>
    <row r="41" spans="2:7" ht="12.75">
      <c r="B41" s="7"/>
      <c r="C41" s="290" t="s">
        <v>462</v>
      </c>
      <c r="D41" s="290"/>
      <c r="E41" s="197">
        <f>VLOOKUP(E37,'Tabelle termodinamiche'!B6:J754,2)</f>
        <v>0.339983</v>
      </c>
      <c r="F41" s="2" t="s">
        <v>7</v>
      </c>
      <c r="G41" s="8"/>
    </row>
    <row r="42" spans="2:7" ht="12.75">
      <c r="B42" s="7"/>
      <c r="C42" s="290" t="s">
        <v>465</v>
      </c>
      <c r="D42" s="290"/>
      <c r="E42" s="197">
        <f>VLOOKUP(E36,'Tabelle termodinamiche'!B6:J754,4)</f>
        <v>1.6719563</v>
      </c>
      <c r="F42" s="2" t="s">
        <v>460</v>
      </c>
      <c r="G42" s="8"/>
    </row>
    <row r="43" spans="2:7" ht="12.75">
      <c r="B43" s="7"/>
      <c r="C43" s="290" t="s">
        <v>466</v>
      </c>
      <c r="D43" s="290"/>
      <c r="E43" s="197">
        <f>VLOOKUP(E37,'Tabelle termodinamiche'!B6:J754,4)</f>
        <v>4.68039596</v>
      </c>
      <c r="F43" s="2" t="s">
        <v>460</v>
      </c>
      <c r="G43" s="8"/>
    </row>
    <row r="44" spans="2:7" ht="12.75">
      <c r="B44" s="7"/>
      <c r="C44" s="290" t="s">
        <v>464</v>
      </c>
      <c r="D44" s="290"/>
      <c r="E44" s="197">
        <f>E42/E43</f>
        <v>0.3572253959470557</v>
      </c>
      <c r="F44" s="2"/>
      <c r="G44" s="8"/>
    </row>
    <row r="45" spans="2:7" ht="12.75">
      <c r="B45" s="7"/>
      <c r="C45" s="290" t="s">
        <v>467</v>
      </c>
      <c r="D45" s="290"/>
      <c r="E45" s="197">
        <f>E40*(1-E44)</f>
        <v>0.03073638274012884</v>
      </c>
      <c r="F45" s="2" t="s">
        <v>2</v>
      </c>
      <c r="G45" s="8"/>
    </row>
    <row r="46" spans="2:7" ht="12.75">
      <c r="B46" s="7"/>
      <c r="C46" s="297" t="s">
        <v>469</v>
      </c>
      <c r="D46" s="343"/>
      <c r="E46" s="195">
        <f>VLOOKUP(E37,'Tabelle termodinamiche'!B6:J754,6)</f>
        <v>301.36</v>
      </c>
      <c r="F46" s="2" t="s">
        <v>384</v>
      </c>
      <c r="G46" s="8"/>
    </row>
    <row r="47" spans="2:7" ht="12.75">
      <c r="B47" s="7"/>
      <c r="C47" s="297" t="s">
        <v>470</v>
      </c>
      <c r="D47" s="343"/>
      <c r="E47" s="195">
        <f>VLOOKUP(E37,'Tabelle termodinamiche'!B6:J754,7)</f>
        <v>2328.94</v>
      </c>
      <c r="F47" s="2" t="s">
        <v>384</v>
      </c>
      <c r="G47" s="8"/>
    </row>
    <row r="48" spans="2:7" ht="12.75">
      <c r="B48" s="7"/>
      <c r="C48" s="290" t="s">
        <v>468</v>
      </c>
      <c r="D48" s="290"/>
      <c r="E48" s="182">
        <f>E46+(E44*E47)</f>
        <v>1133.316513636936</v>
      </c>
      <c r="F48" s="2" t="s">
        <v>384</v>
      </c>
      <c r="G48" s="8"/>
    </row>
    <row r="49" spans="2:7" ht="12.75">
      <c r="B49" s="7"/>
      <c r="C49" s="290" t="s">
        <v>472</v>
      </c>
      <c r="D49" s="290"/>
      <c r="E49" s="183">
        <f>E40*(E48-E39-(E42*(E41-E35)))</f>
        <v>-73.71571867456339</v>
      </c>
      <c r="F49" s="2" t="s">
        <v>193</v>
      </c>
      <c r="G49" s="8"/>
    </row>
    <row r="50" spans="2:7" ht="13.5" thickBot="1">
      <c r="B50" s="11"/>
      <c r="C50" s="12"/>
      <c r="D50" s="12"/>
      <c r="E50" s="12"/>
      <c r="F50" s="12"/>
      <c r="G50" s="13"/>
    </row>
  </sheetData>
  <mergeCells count="42">
    <mergeCell ref="C49:D49"/>
    <mergeCell ref="C44:D44"/>
    <mergeCell ref="C43:D43"/>
    <mergeCell ref="C42:D42"/>
    <mergeCell ref="C48:D48"/>
    <mergeCell ref="C46:D46"/>
    <mergeCell ref="C47:D47"/>
    <mergeCell ref="B28:G32"/>
    <mergeCell ref="C34:D34"/>
    <mergeCell ref="C35:D35"/>
    <mergeCell ref="C45:D45"/>
    <mergeCell ref="C36:D36"/>
    <mergeCell ref="C37:D37"/>
    <mergeCell ref="C38:D38"/>
    <mergeCell ref="C39:D39"/>
    <mergeCell ref="C40:D40"/>
    <mergeCell ref="C41:D41"/>
    <mergeCell ref="C23:D23"/>
    <mergeCell ref="C24:D24"/>
    <mergeCell ref="C25:D25"/>
    <mergeCell ref="C14:D14"/>
    <mergeCell ref="C17:D17"/>
    <mergeCell ref="C15:D15"/>
    <mergeCell ref="C16:D16"/>
    <mergeCell ref="C18:D18"/>
    <mergeCell ref="C19:D19"/>
    <mergeCell ref="C20:D20"/>
    <mergeCell ref="B3:G7"/>
    <mergeCell ref="I10:J10"/>
    <mergeCell ref="I11:J11"/>
    <mergeCell ref="C21:D21"/>
    <mergeCell ref="C13:D13"/>
    <mergeCell ref="C9:D9"/>
    <mergeCell ref="C10:D10"/>
    <mergeCell ref="C11:D11"/>
    <mergeCell ref="C12:D12"/>
    <mergeCell ref="C22:D22"/>
    <mergeCell ref="I12:J12"/>
    <mergeCell ref="I13:J13"/>
    <mergeCell ref="I14:J14"/>
    <mergeCell ref="I15:J15"/>
    <mergeCell ref="I18:J22"/>
  </mergeCells>
  <printOptions/>
  <pageMargins left="0.75" right="0.75" top="1" bottom="1" header="0.5" footer="0.5"/>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B3:J45"/>
  <sheetViews>
    <sheetView workbookViewId="0" topLeftCell="A1">
      <selection activeCell="G17" sqref="G17"/>
    </sheetView>
  </sheetViews>
  <sheetFormatPr defaultColWidth="9.140625" defaultRowHeight="12.75"/>
  <cols>
    <col min="3" max="3" width="22.57421875" style="0" customWidth="1"/>
    <col min="4" max="4" width="16.00390625" style="0" customWidth="1"/>
    <col min="8" max="8" width="9.57421875" style="0" bestFit="1" customWidth="1"/>
  </cols>
  <sheetData>
    <row r="2" ht="13.5" thickBot="1"/>
    <row r="3" spans="2:10" ht="13.5" thickBot="1">
      <c r="B3" s="278" t="s">
        <v>238</v>
      </c>
      <c r="C3" s="279"/>
      <c r="D3" s="279"/>
      <c r="E3" s="279"/>
      <c r="F3" s="279"/>
      <c r="G3" s="279"/>
      <c r="H3" s="279"/>
      <c r="I3" s="279"/>
      <c r="J3" s="280"/>
    </row>
    <row r="4" spans="2:10" ht="12.75">
      <c r="B4" s="4"/>
      <c r="C4" s="5"/>
      <c r="D4" s="5"/>
      <c r="E4" s="5"/>
      <c r="F4" s="5"/>
      <c r="G4" s="5"/>
      <c r="H4" s="5"/>
      <c r="I4" s="5"/>
      <c r="J4" s="6"/>
    </row>
    <row r="5" spans="2:10" ht="12.75">
      <c r="B5" s="7"/>
      <c r="C5" s="3"/>
      <c r="D5" s="3"/>
      <c r="E5" s="3"/>
      <c r="F5" s="3"/>
      <c r="G5" s="3"/>
      <c r="H5" s="3"/>
      <c r="I5" s="3"/>
      <c r="J5" s="8"/>
    </row>
    <row r="6" spans="2:10" ht="12.75">
      <c r="B6" s="7"/>
      <c r="C6" s="3"/>
      <c r="D6" s="3"/>
      <c r="E6" s="3"/>
      <c r="F6" s="3"/>
      <c r="G6" s="3"/>
      <c r="H6" s="3"/>
      <c r="I6" s="3"/>
      <c r="J6" s="8"/>
    </row>
    <row r="7" spans="2:10" ht="12.75">
      <c r="B7" s="7"/>
      <c r="C7" s="3"/>
      <c r="D7" s="3"/>
      <c r="E7" s="3"/>
      <c r="F7" s="3"/>
      <c r="G7" s="3"/>
      <c r="H7" s="3"/>
      <c r="I7" s="3"/>
      <c r="J7" s="8"/>
    </row>
    <row r="8" spans="2:10" ht="13.5" thickBot="1">
      <c r="B8" s="7"/>
      <c r="C8" s="3"/>
      <c r="D8" s="3"/>
      <c r="E8" s="3"/>
      <c r="F8" s="3"/>
      <c r="G8" s="3"/>
      <c r="H8" s="3"/>
      <c r="I8" s="3"/>
      <c r="J8" s="8"/>
    </row>
    <row r="9" spans="2:10" ht="12.75">
      <c r="B9" s="7"/>
      <c r="C9" s="3"/>
      <c r="D9" s="3"/>
      <c r="E9" s="3"/>
      <c r="F9" s="3"/>
      <c r="G9" s="3"/>
      <c r="H9" s="306" t="s">
        <v>336</v>
      </c>
      <c r="I9" s="307"/>
      <c r="J9" s="8"/>
    </row>
    <row r="10" spans="2:10" ht="12.75">
      <c r="B10" s="7"/>
      <c r="C10" s="3"/>
      <c r="D10" s="3"/>
      <c r="E10" s="3"/>
      <c r="F10" s="3"/>
      <c r="G10" s="3"/>
      <c r="H10" s="300"/>
      <c r="I10" s="301"/>
      <c r="J10" s="8"/>
    </row>
    <row r="11" spans="2:10" ht="12.75">
      <c r="B11" s="7"/>
      <c r="C11" s="3"/>
      <c r="D11" s="3"/>
      <c r="E11" s="3"/>
      <c r="F11" s="3"/>
      <c r="G11" s="3"/>
      <c r="H11" s="308" t="s">
        <v>337</v>
      </c>
      <c r="I11" s="309"/>
      <c r="J11" s="8"/>
    </row>
    <row r="12" spans="2:10" ht="12.75">
      <c r="B12" s="7"/>
      <c r="C12" s="3"/>
      <c r="D12" s="3"/>
      <c r="E12" s="3"/>
      <c r="F12" s="3"/>
      <c r="G12" s="3"/>
      <c r="H12" s="300"/>
      <c r="I12" s="301"/>
      <c r="J12" s="8"/>
    </row>
    <row r="13" spans="2:10" ht="12.75">
      <c r="B13" s="7"/>
      <c r="C13" s="3"/>
      <c r="D13" s="3"/>
      <c r="E13" s="3"/>
      <c r="F13" s="3"/>
      <c r="G13" s="3"/>
      <c r="H13" s="349" t="s">
        <v>338</v>
      </c>
      <c r="I13" s="277"/>
      <c r="J13" s="8"/>
    </row>
    <row r="14" spans="2:10" ht="12.75">
      <c r="B14" s="7"/>
      <c r="C14" s="3"/>
      <c r="D14" s="3"/>
      <c r="E14" s="3"/>
      <c r="F14" s="3"/>
      <c r="G14" s="3"/>
      <c r="H14" s="300"/>
      <c r="I14" s="301"/>
      <c r="J14" s="8"/>
    </row>
    <row r="15" spans="2:10" ht="12.75">
      <c r="B15" s="7"/>
      <c r="C15" s="3"/>
      <c r="D15" s="3"/>
      <c r="E15" s="3"/>
      <c r="F15" s="3"/>
      <c r="G15" s="3"/>
      <c r="H15" s="302" t="s">
        <v>339</v>
      </c>
      <c r="I15" s="303"/>
      <c r="J15" s="8"/>
    </row>
    <row r="16" spans="2:10" ht="13.5" thickBot="1">
      <c r="B16" s="7"/>
      <c r="C16" s="3"/>
      <c r="D16" s="3"/>
      <c r="E16" s="3"/>
      <c r="F16" s="3"/>
      <c r="G16" s="3"/>
      <c r="H16" s="363"/>
      <c r="I16" s="364"/>
      <c r="J16" s="8"/>
    </row>
    <row r="17" spans="2:10" ht="12.75">
      <c r="B17" s="7"/>
      <c r="C17" s="3"/>
      <c r="D17" s="3"/>
      <c r="E17" s="3"/>
      <c r="F17" s="3"/>
      <c r="G17" s="3"/>
      <c r="H17" s="3"/>
      <c r="I17" s="3"/>
      <c r="J17" s="8"/>
    </row>
    <row r="18" spans="2:10" ht="12.75">
      <c r="B18" s="356" t="s">
        <v>263</v>
      </c>
      <c r="C18" s="290"/>
      <c r="D18" s="189">
        <v>450</v>
      </c>
      <c r="E18" s="168" t="s">
        <v>75</v>
      </c>
      <c r="F18" s="3"/>
      <c r="G18" s="3"/>
      <c r="H18" s="3"/>
      <c r="I18" s="3"/>
      <c r="J18" s="8"/>
    </row>
    <row r="19" spans="2:10" ht="12.75">
      <c r="B19" s="361" t="s">
        <v>49</v>
      </c>
      <c r="C19" s="362"/>
      <c r="D19" s="217">
        <v>5</v>
      </c>
      <c r="E19" s="184"/>
      <c r="F19" s="177"/>
      <c r="G19" s="177"/>
      <c r="H19" s="177"/>
      <c r="I19" s="177"/>
      <c r="J19" s="8"/>
    </row>
    <row r="20" spans="2:10" ht="12.75">
      <c r="B20" s="356" t="s">
        <v>239</v>
      </c>
      <c r="C20" s="290"/>
      <c r="D20" s="163">
        <v>470</v>
      </c>
      <c r="E20" s="2" t="s">
        <v>77</v>
      </c>
      <c r="F20" s="3"/>
      <c r="G20" s="3"/>
      <c r="H20" s="3"/>
      <c r="I20" s="3"/>
      <c r="J20" s="8"/>
    </row>
    <row r="21" spans="2:10" ht="12.75">
      <c r="B21" s="342" t="s">
        <v>240</v>
      </c>
      <c r="C21" s="343"/>
      <c r="D21" s="163">
        <v>1</v>
      </c>
      <c r="E21" s="2"/>
      <c r="F21" s="3"/>
      <c r="G21" s="3"/>
      <c r="H21" s="3"/>
      <c r="I21" s="3"/>
      <c r="J21" s="8"/>
    </row>
    <row r="22" spans="2:10" ht="12.75">
      <c r="B22" s="356" t="s">
        <v>241</v>
      </c>
      <c r="C22" s="290"/>
      <c r="D22" s="165">
        <f>D20*D21</f>
        <v>470</v>
      </c>
      <c r="E22" s="2" t="s">
        <v>237</v>
      </c>
      <c r="F22" s="19"/>
      <c r="G22" s="19"/>
      <c r="H22" s="3"/>
      <c r="I22" s="3"/>
      <c r="J22" s="8"/>
    </row>
    <row r="23" spans="2:10" ht="12.75">
      <c r="B23" s="356" t="s">
        <v>247</v>
      </c>
      <c r="C23" s="290"/>
      <c r="D23" s="163">
        <v>32</v>
      </c>
      <c r="E23" s="2" t="s">
        <v>76</v>
      </c>
      <c r="F23" s="165">
        <f>D23+273</f>
        <v>305</v>
      </c>
      <c r="G23" s="2" t="s">
        <v>0</v>
      </c>
      <c r="H23" s="140"/>
      <c r="I23" s="3"/>
      <c r="J23" s="8"/>
    </row>
    <row r="24" spans="2:10" ht="12.75">
      <c r="B24" s="359" t="s">
        <v>248</v>
      </c>
      <c r="C24" s="360"/>
      <c r="D24" s="178">
        <v>20</v>
      </c>
      <c r="E24" s="179" t="s">
        <v>76</v>
      </c>
      <c r="F24" s="165">
        <f>D24+273</f>
        <v>293</v>
      </c>
      <c r="G24" s="2" t="s">
        <v>0</v>
      </c>
      <c r="H24" s="140"/>
      <c r="I24" s="3"/>
      <c r="J24" s="8"/>
    </row>
    <row r="25" spans="2:10" ht="12.75">
      <c r="B25" s="342" t="s">
        <v>245</v>
      </c>
      <c r="C25" s="343"/>
      <c r="D25" s="178">
        <v>0.8</v>
      </c>
      <c r="E25" s="179"/>
      <c r="F25" s="19"/>
      <c r="G25" s="3"/>
      <c r="H25" s="140"/>
      <c r="I25" s="3"/>
      <c r="J25" s="8"/>
    </row>
    <row r="26" spans="2:10" ht="12.75">
      <c r="B26" s="342" t="s">
        <v>246</v>
      </c>
      <c r="C26" s="343"/>
      <c r="D26" s="178">
        <v>0.5</v>
      </c>
      <c r="E26" s="179"/>
      <c r="F26" s="19"/>
      <c r="G26" s="3"/>
      <c r="H26" s="140"/>
      <c r="I26" s="3"/>
      <c r="J26" s="8"/>
    </row>
    <row r="27" spans="2:10" ht="12.75">
      <c r="B27" s="356" t="s">
        <v>244</v>
      </c>
      <c r="C27" s="290"/>
      <c r="D27" s="165">
        <f>VLOOKUP(D23,'Tabelle termodinamiche'!B6:J754,2)</f>
        <v>0.047586</v>
      </c>
      <c r="E27" s="180"/>
      <c r="F27" s="19"/>
      <c r="G27" s="3"/>
      <c r="H27" s="140"/>
      <c r="I27" s="3"/>
      <c r="J27" s="8"/>
    </row>
    <row r="28" spans="2:10" ht="12.75">
      <c r="B28" s="356" t="s">
        <v>266</v>
      </c>
      <c r="C28" s="290"/>
      <c r="D28" s="165">
        <f>VLOOKUP(D24,'Tabelle termodinamiche'!B6:J754,2)</f>
        <v>0.023389</v>
      </c>
      <c r="E28" s="180"/>
      <c r="F28" s="19"/>
      <c r="G28" s="3"/>
      <c r="H28" s="140"/>
      <c r="I28" s="3"/>
      <c r="J28" s="8"/>
    </row>
    <row r="29" spans="2:10" ht="12.75">
      <c r="B29" s="356" t="s">
        <v>250</v>
      </c>
      <c r="C29" s="290"/>
      <c r="D29" s="181">
        <f>0.622*(D25*D27)/(1-D25*D27)</f>
        <v>0.024615891032539545</v>
      </c>
      <c r="E29" s="180" t="s">
        <v>40</v>
      </c>
      <c r="F29" s="19"/>
      <c r="G29" s="3"/>
      <c r="H29" s="3"/>
      <c r="I29" s="19"/>
      <c r="J29" s="8"/>
    </row>
    <row r="30" spans="2:10" ht="12.75">
      <c r="B30" s="356" t="s">
        <v>251</v>
      </c>
      <c r="C30" s="290"/>
      <c r="D30" s="181">
        <f>0.622*(D26*D28)/(1-D26*D28)</f>
        <v>0.007360051117797078</v>
      </c>
      <c r="E30" s="180" t="s">
        <v>40</v>
      </c>
      <c r="F30" s="195">
        <f>D30*1000</f>
        <v>7.360051117797078</v>
      </c>
      <c r="G30" s="180" t="s">
        <v>267</v>
      </c>
      <c r="H30" s="3"/>
      <c r="I30" s="19"/>
      <c r="J30" s="8"/>
    </row>
    <row r="31" spans="2:10" ht="12.75">
      <c r="B31" s="356" t="s">
        <v>252</v>
      </c>
      <c r="C31" s="290"/>
      <c r="D31" s="182">
        <f>(1-(D26*D28))*101325</f>
        <v>100140.05478749999</v>
      </c>
      <c r="E31" s="180" t="s">
        <v>6</v>
      </c>
      <c r="F31" s="19"/>
      <c r="G31" s="3"/>
      <c r="H31" s="3"/>
      <c r="I31" s="19"/>
      <c r="J31" s="8"/>
    </row>
    <row r="32" spans="2:10" ht="12.75">
      <c r="B32" s="68"/>
      <c r="C32" s="152"/>
      <c r="D32" s="73"/>
      <c r="E32" s="19"/>
      <c r="F32" s="19"/>
      <c r="G32" s="3"/>
      <c r="H32" s="3"/>
      <c r="I32" s="19"/>
      <c r="J32" s="8"/>
    </row>
    <row r="33" spans="2:10" ht="12.75">
      <c r="B33" s="356" t="s">
        <v>253</v>
      </c>
      <c r="C33" s="290"/>
      <c r="D33" s="182">
        <f>(D31*D22)/((8314/(VLOOKUP(D19,'Tabelle termodinamiche'!L7:P21,3)))*(273+D24))</f>
        <v>559.7273614640387</v>
      </c>
      <c r="E33" s="180" t="s">
        <v>242</v>
      </c>
      <c r="F33" s="185">
        <f>D33/3600</f>
        <v>0.15547982262889964</v>
      </c>
      <c r="G33" s="180" t="s">
        <v>261</v>
      </c>
      <c r="H33" s="3"/>
      <c r="I33" s="19"/>
      <c r="J33" s="8"/>
    </row>
    <row r="34" spans="2:10" ht="12.75">
      <c r="B34" s="65"/>
      <c r="C34" s="152"/>
      <c r="D34" s="73"/>
      <c r="E34" s="19"/>
      <c r="F34" s="193"/>
      <c r="G34" s="19"/>
      <c r="H34" s="3"/>
      <c r="I34" s="19"/>
      <c r="J34" s="8"/>
    </row>
    <row r="35" spans="2:10" ht="12.75">
      <c r="B35" s="356" t="s">
        <v>243</v>
      </c>
      <c r="C35" s="290"/>
      <c r="D35" s="183">
        <f>D33*(D29-D30)</f>
        <v>9.658565745324644</v>
      </c>
      <c r="E35" s="180" t="s">
        <v>249</v>
      </c>
      <c r="F35" s="185">
        <f>D35/3600</f>
        <v>0.0026829349292568456</v>
      </c>
      <c r="G35" s="180" t="s">
        <v>262</v>
      </c>
      <c r="H35" s="3"/>
      <c r="I35" s="19"/>
      <c r="J35" s="8"/>
    </row>
    <row r="36" spans="2:10" ht="12.75">
      <c r="B36" s="356" t="s">
        <v>254</v>
      </c>
      <c r="C36" s="290"/>
      <c r="D36" s="185">
        <f>D30/(0.622+D30)</f>
        <v>0.011694500000000002</v>
      </c>
      <c r="E36" s="180" t="s">
        <v>7</v>
      </c>
      <c r="F36" s="3"/>
      <c r="G36" s="140"/>
      <c r="H36" s="3"/>
      <c r="I36" s="3"/>
      <c r="J36" s="8"/>
    </row>
    <row r="37" spans="2:10" ht="12.75">
      <c r="B37" s="356" t="s">
        <v>255</v>
      </c>
      <c r="C37" s="290"/>
      <c r="D37" s="187">
        <v>9.5</v>
      </c>
      <c r="E37" s="186" t="s">
        <v>76</v>
      </c>
      <c r="F37" s="3"/>
      <c r="G37" s="140"/>
      <c r="H37" s="3"/>
      <c r="I37" s="3"/>
      <c r="J37" s="8"/>
    </row>
    <row r="38" spans="2:10" ht="12.75">
      <c r="B38" s="342" t="s">
        <v>260</v>
      </c>
      <c r="C38" s="343"/>
      <c r="D38" s="187">
        <v>8</v>
      </c>
      <c r="E38" s="186" t="s">
        <v>76</v>
      </c>
      <c r="F38" s="3"/>
      <c r="G38" s="140"/>
      <c r="H38" s="3"/>
      <c r="I38" s="3"/>
      <c r="J38" s="8"/>
    </row>
    <row r="39" spans="2:10" ht="12.75">
      <c r="B39" s="356" t="s">
        <v>256</v>
      </c>
      <c r="C39" s="290"/>
      <c r="D39" s="188">
        <f>D23+D29*(2500+1.9*D23)</f>
        <v>95.03637375612726</v>
      </c>
      <c r="E39" s="186" t="s">
        <v>41</v>
      </c>
      <c r="F39" s="3"/>
      <c r="G39" s="140"/>
      <c r="H39" s="3"/>
      <c r="I39" s="3"/>
      <c r="J39" s="8"/>
    </row>
    <row r="40" spans="2:10" ht="12.75">
      <c r="B40" s="356" t="s">
        <v>257</v>
      </c>
      <c r="C40" s="290"/>
      <c r="D40" s="188">
        <f>D37+D30*(2500+1.9*D37)</f>
        <v>28.032976717168932</v>
      </c>
      <c r="E40" s="186" t="s">
        <v>41</v>
      </c>
      <c r="F40" s="3"/>
      <c r="G40" s="140"/>
      <c r="H40" s="3"/>
      <c r="I40" s="3"/>
      <c r="J40" s="8"/>
    </row>
    <row r="41" spans="2:10" ht="12.75">
      <c r="B41" s="356" t="s">
        <v>258</v>
      </c>
      <c r="C41" s="290"/>
      <c r="D41" s="188">
        <f>D24+D30*(2500+1.9*D24)</f>
        <v>38.679809736968984</v>
      </c>
      <c r="E41" s="186" t="s">
        <v>41</v>
      </c>
      <c r="F41" s="3"/>
      <c r="G41" s="140"/>
      <c r="H41" s="3"/>
      <c r="I41" s="3"/>
      <c r="J41" s="8"/>
    </row>
    <row r="42" spans="2:10" ht="12.75">
      <c r="B42" s="290" t="s">
        <v>259</v>
      </c>
      <c r="C42" s="290"/>
      <c r="D42" s="188">
        <f>4.187*D38</f>
        <v>33.496</v>
      </c>
      <c r="E42" s="186" t="s">
        <v>41</v>
      </c>
      <c r="F42" s="3"/>
      <c r="G42" s="140"/>
      <c r="H42" s="3"/>
      <c r="I42" s="3"/>
      <c r="J42" s="8"/>
    </row>
    <row r="43" spans="2:10" ht="12.75">
      <c r="B43" s="68"/>
      <c r="C43" s="152"/>
      <c r="D43" s="194"/>
      <c r="E43" s="152"/>
      <c r="F43" s="19"/>
      <c r="G43" s="140"/>
      <c r="H43" s="3"/>
      <c r="I43" s="3"/>
      <c r="J43" s="8"/>
    </row>
    <row r="44" spans="2:10" ht="12.75">
      <c r="B44" s="290" t="s">
        <v>265</v>
      </c>
      <c r="C44" s="290"/>
      <c r="D44" s="188">
        <f>-(D39*F33)+(D40*F33)+(D42*F35)-(D18/1000)</f>
        <v>-10.777808698760595</v>
      </c>
      <c r="E44" s="186" t="s">
        <v>203</v>
      </c>
      <c r="F44" s="3"/>
      <c r="G44" s="140"/>
      <c r="H44" s="3"/>
      <c r="I44" s="3"/>
      <c r="J44" s="8"/>
    </row>
    <row r="45" spans="2:10" ht="13.5" thickBot="1">
      <c r="B45" s="357" t="s">
        <v>264</v>
      </c>
      <c r="C45" s="358"/>
      <c r="D45" s="190">
        <f>-(D40*F33)+(D41*F33)</f>
        <v>1.655367709478024</v>
      </c>
      <c r="E45" s="191" t="s">
        <v>203</v>
      </c>
      <c r="F45" s="12"/>
      <c r="G45" s="192"/>
      <c r="H45" s="12"/>
      <c r="I45" s="12"/>
      <c r="J45" s="13"/>
    </row>
  </sheetData>
  <mergeCells count="34">
    <mergeCell ref="H13:I13"/>
    <mergeCell ref="H14:I14"/>
    <mergeCell ref="H15:I15"/>
    <mergeCell ref="H16:I16"/>
    <mergeCell ref="H9:I9"/>
    <mergeCell ref="H10:I10"/>
    <mergeCell ref="H11:I11"/>
    <mergeCell ref="H12:I12"/>
    <mergeCell ref="B20:C20"/>
    <mergeCell ref="B21:C21"/>
    <mergeCell ref="B19:C19"/>
    <mergeCell ref="B18:C18"/>
    <mergeCell ref="B23:C23"/>
    <mergeCell ref="B24:C24"/>
    <mergeCell ref="B27:C27"/>
    <mergeCell ref="B28:C28"/>
    <mergeCell ref="B25:C25"/>
    <mergeCell ref="B26:C26"/>
    <mergeCell ref="B45:C45"/>
    <mergeCell ref="B3:J3"/>
    <mergeCell ref="B29:C29"/>
    <mergeCell ref="B30:C30"/>
    <mergeCell ref="B31:C31"/>
    <mergeCell ref="B33:C33"/>
    <mergeCell ref="B35:C35"/>
    <mergeCell ref="B36:C36"/>
    <mergeCell ref="B37:C37"/>
    <mergeCell ref="B22:C22"/>
    <mergeCell ref="B40:C40"/>
    <mergeCell ref="B42:C42"/>
    <mergeCell ref="B44:C44"/>
    <mergeCell ref="B38:C38"/>
    <mergeCell ref="B41:C41"/>
    <mergeCell ref="B39:C39"/>
  </mergeCells>
  <printOptions/>
  <pageMargins left="0.75" right="0.75" top="1" bottom="1" header="0.5" footer="0.5"/>
  <pageSetup horizontalDpi="300" verticalDpi="300" orientation="portrait" paperSize="9" r:id="rId9"/>
  <drawing r:id="rId8"/>
  <legacyDrawing r:id="rId7"/>
  <oleObjects>
    <oleObject progId="MathType 5.0 Equation" shapeId="71974" r:id="rId2"/>
    <oleObject progId="MathType 5.0 Equation" shapeId="71975" r:id="rId3"/>
    <oleObject progId="Equation.3" shapeId="325170" r:id="rId4"/>
    <oleObject progId="Equation.3" shapeId="330969" r:id="rId5"/>
    <oleObject progId="Equation.3" shapeId="338074" r:id="rId6"/>
  </oleObjects>
</worksheet>
</file>

<file path=xl/worksheets/sheet17.xml><?xml version="1.0" encoding="utf-8"?>
<worksheet xmlns="http://schemas.openxmlformats.org/spreadsheetml/2006/main" xmlns:r="http://schemas.openxmlformats.org/officeDocument/2006/relationships">
  <dimension ref="B3:F35"/>
  <sheetViews>
    <sheetView workbookViewId="0" topLeftCell="A1">
      <selection activeCell="A1" sqref="A1"/>
    </sheetView>
  </sheetViews>
  <sheetFormatPr defaultColWidth="9.140625" defaultRowHeight="12.75"/>
  <cols>
    <col min="3" max="3" width="33.28125" style="0" customWidth="1"/>
    <col min="4" max="4" width="12.140625" style="0" customWidth="1"/>
  </cols>
  <sheetData>
    <row r="2" ht="13.5" thickBot="1"/>
    <row r="3" spans="2:6" ht="13.5" thickBot="1">
      <c r="B3" s="278" t="s">
        <v>353</v>
      </c>
      <c r="C3" s="279"/>
      <c r="D3" s="279"/>
      <c r="E3" s="279"/>
      <c r="F3" s="280"/>
    </row>
    <row r="4" spans="2:6" ht="12.75">
      <c r="B4" s="4"/>
      <c r="C4" s="5"/>
      <c r="D4" s="5"/>
      <c r="E4" s="5"/>
      <c r="F4" s="6"/>
    </row>
    <row r="5" spans="2:6" ht="12.75">
      <c r="B5" s="7"/>
      <c r="C5" s="3"/>
      <c r="D5" s="3"/>
      <c r="E5" s="3"/>
      <c r="F5" s="8"/>
    </row>
    <row r="6" spans="2:6" ht="12.75">
      <c r="B6" s="7"/>
      <c r="C6" s="2" t="s">
        <v>117</v>
      </c>
      <c r="D6" s="163">
        <v>72</v>
      </c>
      <c r="E6" s="2" t="s">
        <v>76</v>
      </c>
      <c r="F6" s="8"/>
    </row>
    <row r="7" spans="2:6" ht="12.75">
      <c r="B7" s="7"/>
      <c r="C7" s="2" t="s">
        <v>81</v>
      </c>
      <c r="D7" s="163">
        <v>1</v>
      </c>
      <c r="E7" s="2" t="s">
        <v>7</v>
      </c>
      <c r="F7" s="8"/>
    </row>
    <row r="8" spans="2:6" ht="12.75">
      <c r="B8" s="7"/>
      <c r="C8" s="2" t="s">
        <v>111</v>
      </c>
      <c r="D8" s="163">
        <v>10</v>
      </c>
      <c r="E8" s="2" t="s">
        <v>78</v>
      </c>
      <c r="F8" s="8"/>
    </row>
    <row r="9" spans="2:6" ht="12.75" customHeight="1">
      <c r="B9" s="7"/>
      <c r="C9" s="3"/>
      <c r="D9" s="19"/>
      <c r="E9" s="3"/>
      <c r="F9" s="8"/>
    </row>
    <row r="10" spans="2:6" ht="12.75">
      <c r="B10" s="7"/>
      <c r="C10" s="2" t="s">
        <v>115</v>
      </c>
      <c r="D10" s="163">
        <v>100</v>
      </c>
      <c r="E10" s="2" t="s">
        <v>76</v>
      </c>
      <c r="F10" s="8"/>
    </row>
    <row r="11" spans="2:6" ht="12.75">
      <c r="B11" s="7"/>
      <c r="C11" s="2" t="s">
        <v>109</v>
      </c>
      <c r="D11" s="163">
        <v>0.010437</v>
      </c>
      <c r="E11" s="168" t="s">
        <v>77</v>
      </c>
      <c r="F11" s="8"/>
    </row>
    <row r="12" spans="2:6" ht="12.75">
      <c r="B12" s="7"/>
      <c r="C12" s="2" t="s">
        <v>110</v>
      </c>
      <c r="D12" s="163">
        <v>1.673</v>
      </c>
      <c r="E12" s="168" t="s">
        <v>77</v>
      </c>
      <c r="F12" s="8"/>
    </row>
    <row r="13" spans="2:6" ht="12.75">
      <c r="B13" s="7"/>
      <c r="C13" s="2" t="s">
        <v>98</v>
      </c>
      <c r="D13" s="183">
        <f>D11/D16</f>
        <v>10</v>
      </c>
      <c r="E13" s="2" t="s">
        <v>78</v>
      </c>
      <c r="F13" s="8"/>
    </row>
    <row r="14" spans="2:6" ht="12.75">
      <c r="B14" s="7"/>
      <c r="C14" s="2" t="s">
        <v>99</v>
      </c>
      <c r="D14" s="183">
        <f>D12/D17</f>
        <v>1</v>
      </c>
      <c r="E14" s="2" t="s">
        <v>78</v>
      </c>
      <c r="F14" s="8"/>
    </row>
    <row r="15" spans="2:6" ht="12.75">
      <c r="B15" s="7"/>
      <c r="C15" s="2" t="s">
        <v>100</v>
      </c>
      <c r="D15" s="185">
        <f>D14/(D13+D14)</f>
        <v>0.09090909090909091</v>
      </c>
      <c r="E15" s="2"/>
      <c r="F15" s="8"/>
    </row>
    <row r="16" spans="2:6" ht="12.75">
      <c r="B16" s="7"/>
      <c r="C16" s="2" t="s">
        <v>105</v>
      </c>
      <c r="D16" s="240">
        <f>(VLOOKUP(D10,'Tabelle termodinamiche'!B6:J754,3))</f>
        <v>0.0010437</v>
      </c>
      <c r="E16" s="2"/>
      <c r="F16" s="8"/>
    </row>
    <row r="17" spans="2:6" ht="12.75">
      <c r="B17" s="7"/>
      <c r="C17" s="2" t="s">
        <v>106</v>
      </c>
      <c r="D17" s="240">
        <f>(VLOOKUP(D10,'Tabelle termodinamiche'!B6:J754,5))</f>
        <v>1.673</v>
      </c>
      <c r="E17" s="2"/>
      <c r="F17" s="8"/>
    </row>
    <row r="18" spans="2:6" ht="12.75">
      <c r="B18" s="7"/>
      <c r="C18" s="3"/>
      <c r="D18" s="244"/>
      <c r="E18" s="3"/>
      <c r="F18" s="8"/>
    </row>
    <row r="19" spans="2:6" ht="12.75">
      <c r="B19" s="7"/>
      <c r="C19" s="2" t="s">
        <v>116</v>
      </c>
      <c r="D19" s="163">
        <v>151.5</v>
      </c>
      <c r="E19" s="2" t="s">
        <v>76</v>
      </c>
      <c r="F19" s="8"/>
    </row>
    <row r="20" spans="2:6" ht="12.75">
      <c r="B20" s="7"/>
      <c r="C20" s="2" t="s">
        <v>107</v>
      </c>
      <c r="D20" s="240">
        <f>(VLOOKUP(D19,'Tabelle termodinamiche'!B6:J754,3))</f>
        <v>0.00109248</v>
      </c>
      <c r="E20" s="2"/>
      <c r="F20" s="8"/>
    </row>
    <row r="21" spans="2:6" ht="12.75">
      <c r="B21" s="7"/>
      <c r="C21" s="2" t="s">
        <v>108</v>
      </c>
      <c r="D21" s="240">
        <f>(VLOOKUP(D19,'Tabelle termodinamiche'!B6:J754,5))</f>
        <v>0.378647</v>
      </c>
      <c r="E21" s="2"/>
      <c r="F21" s="8"/>
    </row>
    <row r="22" spans="2:6" ht="12.75">
      <c r="B22" s="7"/>
      <c r="C22" s="2" t="s">
        <v>104</v>
      </c>
      <c r="D22" s="181">
        <f>((D16+D15*D17-D20)/D21)</f>
        <v>0.40154056176573194</v>
      </c>
      <c r="E22" s="2"/>
      <c r="F22" s="8"/>
    </row>
    <row r="23" spans="2:6" ht="12.75">
      <c r="B23" s="7"/>
      <c r="C23" s="2" t="s">
        <v>112</v>
      </c>
      <c r="D23" s="183">
        <f>(VLOOKUP(D19,'Tabelle termodinamiche'!B6:J754,2))</f>
        <v>4.961999</v>
      </c>
      <c r="E23" s="2" t="s">
        <v>7</v>
      </c>
      <c r="F23" s="8"/>
    </row>
    <row r="24" spans="2:6" ht="12.75">
      <c r="B24" s="7"/>
      <c r="C24" s="3"/>
      <c r="D24" s="245"/>
      <c r="E24" s="3"/>
      <c r="F24" s="8"/>
    </row>
    <row r="25" spans="2:6" ht="12.75">
      <c r="B25" s="7"/>
      <c r="C25" s="2" t="s">
        <v>113</v>
      </c>
      <c r="D25" s="183">
        <f>(VLOOKUP(D10,'Tabelle termodinamiche'!B6:J754,6))+D15*(VLOOKUP(D10,'Tabelle termodinamiche'!B6:J754,7))</f>
        <v>624.3636363636364</v>
      </c>
      <c r="E25" s="2" t="s">
        <v>120</v>
      </c>
      <c r="F25" s="8"/>
    </row>
    <row r="26" spans="2:6" ht="12.75">
      <c r="B26" s="7"/>
      <c r="C26" s="2" t="s">
        <v>114</v>
      </c>
      <c r="D26" s="183">
        <f>(VLOOKUP(D19,'Tabelle termodinamiche'!B6:J754,6))+D22*(VLOOKUP(D19,'Tabelle termodinamiche'!B6:J754,7))</f>
        <v>1485.2703206998985</v>
      </c>
      <c r="E26" s="2" t="s">
        <v>120</v>
      </c>
      <c r="F26" s="8"/>
    </row>
    <row r="27" spans="2:6" ht="12.75">
      <c r="B27" s="7"/>
      <c r="C27" s="2" t="s">
        <v>118</v>
      </c>
      <c r="D27" s="183">
        <f>(D13+D14)*(D26-D25)</f>
        <v>9469.973527698883</v>
      </c>
      <c r="E27" s="2" t="s">
        <v>120</v>
      </c>
      <c r="F27" s="8"/>
    </row>
    <row r="28" spans="2:6" ht="12.75">
      <c r="B28" s="7"/>
      <c r="C28" s="3"/>
      <c r="D28" s="41"/>
      <c r="E28" s="19"/>
      <c r="F28" s="8"/>
    </row>
    <row r="29" spans="2:6" ht="13.5" thickBot="1">
      <c r="B29" s="11"/>
      <c r="C29" s="12"/>
      <c r="D29" s="239"/>
      <c r="E29" s="12"/>
      <c r="F29" s="13"/>
    </row>
    <row r="30" ht="12.75">
      <c r="D30" s="92"/>
    </row>
    <row r="31" ht="12.75">
      <c r="D31" s="92"/>
    </row>
    <row r="32" ht="12.75">
      <c r="D32" s="92"/>
    </row>
    <row r="33" ht="12.75">
      <c r="D33" s="92"/>
    </row>
    <row r="34" ht="12.75">
      <c r="D34" s="92"/>
    </row>
    <row r="35" ht="12.75">
      <c r="D35" s="92"/>
    </row>
  </sheetData>
  <mergeCells count="1">
    <mergeCell ref="B3:F3"/>
  </mergeCells>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2:J29"/>
  <sheetViews>
    <sheetView workbookViewId="0" topLeftCell="A1">
      <selection activeCell="E11" sqref="E11"/>
    </sheetView>
  </sheetViews>
  <sheetFormatPr defaultColWidth="9.140625" defaultRowHeight="12.75"/>
  <cols>
    <col min="1" max="1" width="37.7109375" style="1" bestFit="1" customWidth="1"/>
    <col min="2" max="2" width="12.421875" style="57" customWidth="1"/>
    <col min="3" max="3" width="9.140625" style="57" customWidth="1"/>
    <col min="4" max="4" width="11.57421875" style="57" bestFit="1" customWidth="1"/>
    <col min="5" max="5" width="25.140625" style="0" customWidth="1"/>
    <col min="6" max="6" width="24.7109375" style="0" customWidth="1"/>
  </cols>
  <sheetData>
    <row r="1" ht="12.75"/>
    <row r="2" spans="1:2" ht="12.75">
      <c r="A2" s="52" t="s">
        <v>49</v>
      </c>
      <c r="B2" s="23">
        <v>5</v>
      </c>
    </row>
    <row r="3" spans="1:3" ht="12.75">
      <c r="A3" s="56" t="s">
        <v>79</v>
      </c>
      <c r="B3" s="58">
        <v>0.24</v>
      </c>
      <c r="C3" s="57" t="s">
        <v>87</v>
      </c>
    </row>
    <row r="4" spans="1:3" ht="12.75">
      <c r="A4" s="56" t="s">
        <v>80</v>
      </c>
      <c r="B4" s="58">
        <v>13.2</v>
      </c>
      <c r="C4" s="57" t="s">
        <v>77</v>
      </c>
    </row>
    <row r="5" ht="12.75"/>
    <row r="6" spans="1:5" ht="12.75">
      <c r="A6" s="56" t="s">
        <v>81</v>
      </c>
      <c r="B6" s="58">
        <v>0.55</v>
      </c>
      <c r="C6" s="57" t="s">
        <v>7</v>
      </c>
      <c r="D6" s="59">
        <f>B6*100000</f>
        <v>55000.00000000001</v>
      </c>
      <c r="E6" t="s">
        <v>6</v>
      </c>
    </row>
    <row r="7" ht="12.75"/>
    <row r="8" spans="1:5" ht="12.75">
      <c r="A8" s="56" t="s">
        <v>83</v>
      </c>
      <c r="B8" s="58">
        <v>20</v>
      </c>
      <c r="C8" s="57" t="s">
        <v>76</v>
      </c>
      <c r="D8" s="61">
        <f>B8+273</f>
        <v>293</v>
      </c>
      <c r="E8" t="s">
        <v>0</v>
      </c>
    </row>
    <row r="9" spans="1:3" ht="12.75">
      <c r="A9" s="115" t="s">
        <v>191</v>
      </c>
      <c r="B9" s="61">
        <f>VLOOKUP(B2,'Tabelle termodinamiche'!L7:P21,4)</f>
        <v>718</v>
      </c>
      <c r="C9" s="57" t="s">
        <v>19</v>
      </c>
    </row>
    <row r="10" spans="1:3" ht="12.75">
      <c r="A10" s="115" t="s">
        <v>192</v>
      </c>
      <c r="B10" s="61">
        <f>VLOOKUP(B2,'Tabelle termodinamiche'!L7:P21,5)</f>
        <v>1005</v>
      </c>
      <c r="C10" s="57" t="s">
        <v>19</v>
      </c>
    </row>
    <row r="11" spans="1:2" ht="12.75">
      <c r="A11" s="56"/>
      <c r="B11" s="114"/>
    </row>
    <row r="12" spans="1:2" ht="12.75">
      <c r="A12" s="62" t="s">
        <v>342</v>
      </c>
      <c r="B12" s="60">
        <f>B10/B9</f>
        <v>1.3997214484679665</v>
      </c>
    </row>
    <row r="13" spans="1:2" ht="12.75">
      <c r="A13" s="62"/>
      <c r="B13" s="113"/>
    </row>
    <row r="14" spans="1:3" ht="12.75">
      <c r="A14" s="56" t="s">
        <v>213</v>
      </c>
      <c r="B14" s="63">
        <f>8314/VLOOKUP(B2,'Tabelle termodinamiche'!L7:P21,3)</f>
        <v>286.9865377977218</v>
      </c>
      <c r="C14" s="57" t="s">
        <v>19</v>
      </c>
    </row>
    <row r="15" spans="1:3" ht="12.75">
      <c r="A15" s="65" t="s">
        <v>86</v>
      </c>
      <c r="B15" s="54">
        <f>(D6*B3)/(B14*D8)</f>
        <v>0.1569801666829502</v>
      </c>
      <c r="C15" s="66" t="s">
        <v>2</v>
      </c>
    </row>
    <row r="16" spans="1:2" ht="13.5" thickBot="1">
      <c r="A16" s="56"/>
      <c r="B16" s="64"/>
    </row>
    <row r="17" spans="1:10" ht="12.75">
      <c r="A17" s="367" t="s">
        <v>91</v>
      </c>
      <c r="B17" s="368"/>
      <c r="C17" s="368"/>
      <c r="D17" s="368"/>
      <c r="E17" s="368"/>
      <c r="F17" s="368"/>
      <c r="G17" s="368"/>
      <c r="H17" s="368"/>
      <c r="I17" s="368"/>
      <c r="J17" s="369"/>
    </row>
    <row r="18" spans="1:10" ht="13.5" thickBot="1">
      <c r="A18" s="370"/>
      <c r="B18" s="371"/>
      <c r="C18" s="371"/>
      <c r="D18" s="371"/>
      <c r="E18" s="371"/>
      <c r="F18" s="371"/>
      <c r="G18" s="371"/>
      <c r="H18" s="371"/>
      <c r="I18" s="371"/>
      <c r="J18" s="372"/>
    </row>
    <row r="19" spans="1:10" ht="13.5" thickBot="1">
      <c r="A19" s="278" t="s">
        <v>90</v>
      </c>
      <c r="B19" s="279"/>
      <c r="C19" s="279"/>
      <c r="D19" s="279"/>
      <c r="E19" s="280"/>
      <c r="F19" s="278" t="s">
        <v>89</v>
      </c>
      <c r="G19" s="365"/>
      <c r="H19" s="365"/>
      <c r="I19" s="365"/>
      <c r="J19" s="366"/>
    </row>
    <row r="20" spans="1:10" ht="12.75">
      <c r="A20" s="74" t="s">
        <v>82</v>
      </c>
      <c r="B20" s="75">
        <f>B3*B6/B4</f>
        <v>0.01</v>
      </c>
      <c r="C20" s="76" t="s">
        <v>7</v>
      </c>
      <c r="D20" s="75">
        <f>B20*100000</f>
        <v>1000</v>
      </c>
      <c r="E20" s="6" t="s">
        <v>6</v>
      </c>
      <c r="F20" s="79" t="s">
        <v>88</v>
      </c>
      <c r="G20" s="77">
        <f>(B3*B6)^B12/(B4^B12)</f>
        <v>0.0015869275618720022</v>
      </c>
      <c r="H20" s="76" t="s">
        <v>7</v>
      </c>
      <c r="I20" s="78">
        <f>G20*100000</f>
        <v>158.69275618720022</v>
      </c>
      <c r="J20" s="6" t="s">
        <v>6</v>
      </c>
    </row>
    <row r="21" spans="1:10" ht="12.75">
      <c r="A21" s="67"/>
      <c r="B21" s="66"/>
      <c r="C21" s="66"/>
      <c r="D21" s="66"/>
      <c r="E21" s="8"/>
      <c r="F21" s="80" t="s">
        <v>84</v>
      </c>
      <c r="G21" s="72">
        <f>I21-273</f>
        <v>-226.50302243715035</v>
      </c>
      <c r="H21" s="66" t="s">
        <v>76</v>
      </c>
      <c r="I21" s="72">
        <f>(I20*B4)/(B15*B14)</f>
        <v>46.49697756284966</v>
      </c>
      <c r="J21" s="8" t="s">
        <v>0</v>
      </c>
    </row>
    <row r="22" spans="1:10" ht="12.75">
      <c r="A22" s="68"/>
      <c r="B22" s="69"/>
      <c r="C22" s="69"/>
      <c r="D22" s="69"/>
      <c r="E22" s="22"/>
      <c r="F22" s="3"/>
      <c r="G22" s="3"/>
      <c r="H22" s="3"/>
      <c r="I22" s="3"/>
      <c r="J22" s="8"/>
    </row>
    <row r="23" spans="1:10" ht="12.75">
      <c r="A23" s="65" t="s">
        <v>236</v>
      </c>
      <c r="B23" s="72">
        <f>B3*D6*LN(B4/B3)</f>
        <v>52896.79804506863</v>
      </c>
      <c r="C23" s="66" t="s">
        <v>74</v>
      </c>
      <c r="D23" s="66"/>
      <c r="E23" s="8"/>
      <c r="F23" s="3" t="s">
        <v>94</v>
      </c>
      <c r="G23" s="72">
        <f>B15*(B8-G21)*B9</f>
        <v>27783.78942492504</v>
      </c>
      <c r="H23" s="3" t="s">
        <v>74</v>
      </c>
      <c r="I23" s="3"/>
      <c r="J23" s="8"/>
    </row>
    <row r="24" spans="1:10" ht="12.75">
      <c r="A24" s="67"/>
      <c r="B24" s="66"/>
      <c r="C24" s="66"/>
      <c r="D24" s="66"/>
      <c r="E24" s="8"/>
      <c r="F24" s="3"/>
      <c r="G24" s="73"/>
      <c r="H24" s="3"/>
      <c r="I24" s="3"/>
      <c r="J24" s="8"/>
    </row>
    <row r="25" spans="1:10" ht="12.75">
      <c r="A25" s="67"/>
      <c r="B25" s="66"/>
      <c r="C25" s="66"/>
      <c r="D25" s="66"/>
      <c r="E25" s="8"/>
      <c r="F25" s="3" t="s">
        <v>92</v>
      </c>
      <c r="G25" s="10">
        <f>-D6*(B3-B4)</f>
        <v>712800</v>
      </c>
      <c r="H25" s="19" t="s">
        <v>74</v>
      </c>
      <c r="I25" s="3"/>
      <c r="J25" s="8"/>
    </row>
    <row r="26" spans="1:10" ht="12.75">
      <c r="A26" s="3" t="s">
        <v>92</v>
      </c>
      <c r="B26" s="72">
        <f>-D6*(B3-B4)</f>
        <v>712800</v>
      </c>
      <c r="C26" s="69" t="s">
        <v>74</v>
      </c>
      <c r="D26" s="66"/>
      <c r="E26" s="8"/>
      <c r="F26" s="3"/>
      <c r="G26" s="19"/>
      <c r="H26" s="19"/>
      <c r="I26" s="3"/>
      <c r="J26" s="8"/>
    </row>
    <row r="27" spans="1:10" ht="12.75">
      <c r="A27" s="68"/>
      <c r="B27" s="69"/>
      <c r="C27" s="69"/>
      <c r="D27" s="66"/>
      <c r="E27" s="8"/>
      <c r="F27" s="3" t="s">
        <v>93</v>
      </c>
      <c r="G27" s="72">
        <f>G23-G25</f>
        <v>-685016.210575075</v>
      </c>
      <c r="H27" s="19" t="s">
        <v>74</v>
      </c>
      <c r="I27" s="3"/>
      <c r="J27" s="8"/>
    </row>
    <row r="28" spans="1:10" ht="12.75">
      <c r="A28" s="3" t="s">
        <v>93</v>
      </c>
      <c r="B28" s="72">
        <f>B23-B26</f>
        <v>-659903.2019549314</v>
      </c>
      <c r="C28" s="19" t="s">
        <v>74</v>
      </c>
      <c r="D28" s="66"/>
      <c r="E28" s="8"/>
      <c r="F28" s="3"/>
      <c r="G28" s="3"/>
      <c r="H28" s="3"/>
      <c r="I28" s="3"/>
      <c r="J28" s="8"/>
    </row>
    <row r="29" spans="1:10" ht="13.5" thickBot="1">
      <c r="A29" s="70"/>
      <c r="B29" s="71"/>
      <c r="C29" s="71"/>
      <c r="D29" s="71"/>
      <c r="E29" s="13"/>
      <c r="F29" s="12"/>
      <c r="G29" s="12"/>
      <c r="H29" s="12"/>
      <c r="I29" s="12"/>
      <c r="J29" s="13"/>
    </row>
    <row r="30" ht="12.75"/>
  </sheetData>
  <mergeCells count="3">
    <mergeCell ref="F19:J19"/>
    <mergeCell ref="A19:E19"/>
    <mergeCell ref="A17:J18"/>
  </mergeCells>
  <printOptions/>
  <pageMargins left="0.75" right="0.75" top="1" bottom="1" header="0.5" footer="0.5"/>
  <pageSetup horizontalDpi="300" verticalDpi="300" orientation="portrait" paperSize="9" r:id="rId11"/>
  <legacyDrawing r:id="rId10"/>
  <oleObjects>
    <oleObject progId="Equation.DSMT4" shapeId="2409010" r:id="rId2"/>
    <oleObject progId="Equation.DSMT4" shapeId="2416283" r:id="rId3"/>
    <oleObject progId="Equation.DSMT4" shapeId="2435083" r:id="rId4"/>
    <oleObject progId="MathType 5.0 Equation" shapeId="79394" r:id="rId5"/>
    <oleObject progId="Equation.3" shapeId="1965497" r:id="rId6"/>
    <oleObject progId="Equation.3" shapeId="1972287" r:id="rId7"/>
    <oleObject progId="Equation.DSMT4" shapeId="1981484" r:id="rId8"/>
    <oleObject progId="Equation.DSMT4" shapeId="1983866" r:id="rId9"/>
  </oleObjects>
</worksheet>
</file>

<file path=xl/worksheets/sheet19.xml><?xml version="1.0" encoding="utf-8"?>
<worksheet xmlns="http://schemas.openxmlformats.org/spreadsheetml/2006/main" xmlns:r="http://schemas.openxmlformats.org/officeDocument/2006/relationships">
  <sheetPr>
    <tabColor indexed="47"/>
  </sheetPr>
  <dimension ref="B1:P754"/>
  <sheetViews>
    <sheetView workbookViewId="0" topLeftCell="A1">
      <selection activeCell="P8" sqref="P8"/>
    </sheetView>
  </sheetViews>
  <sheetFormatPr defaultColWidth="9.140625" defaultRowHeight="12.75"/>
  <cols>
    <col min="2" max="2" width="12.8515625" style="0" customWidth="1"/>
    <col min="3" max="3" width="13.7109375" style="0" customWidth="1"/>
    <col min="4" max="4" width="9.57421875" style="0" bestFit="1" customWidth="1"/>
    <col min="5" max="5" width="16.8515625" style="0" bestFit="1" customWidth="1"/>
    <col min="6" max="6" width="10.57421875" style="0" bestFit="1" customWidth="1"/>
    <col min="7" max="7" width="8.421875" style="0" bestFit="1" customWidth="1"/>
    <col min="8" max="8" width="16.28125" style="0" bestFit="1" customWidth="1"/>
    <col min="9" max="9" width="8.421875" style="0" bestFit="1" customWidth="1"/>
    <col min="12" max="12" width="5.7109375" style="0" customWidth="1"/>
    <col min="13" max="13" width="16.140625" style="0" bestFit="1" customWidth="1"/>
    <col min="14" max="14" width="21.57421875" style="0" bestFit="1" customWidth="1"/>
    <col min="15" max="15" width="10.28125" style="0" bestFit="1" customWidth="1"/>
    <col min="16" max="16" width="10.421875" style="0" bestFit="1" customWidth="1"/>
  </cols>
  <sheetData>
    <row r="1" spans="2:9" ht="12.75">
      <c r="B1" s="19"/>
      <c r="C1" s="19"/>
      <c r="D1" s="19"/>
      <c r="E1" s="19"/>
      <c r="F1" s="19"/>
      <c r="G1" s="19"/>
      <c r="H1" s="19"/>
      <c r="I1" s="19"/>
    </row>
    <row r="2" spans="2:9" ht="12.75">
      <c r="B2" s="19"/>
      <c r="C2" s="19"/>
      <c r="D2" s="19"/>
      <c r="E2" s="19"/>
      <c r="F2" s="19"/>
      <c r="G2" s="19"/>
      <c r="H2" s="19"/>
      <c r="I2" s="19"/>
    </row>
    <row r="3" spans="2:9" ht="13.5" thickBot="1">
      <c r="B3" s="19"/>
      <c r="C3" s="19"/>
      <c r="D3" s="19"/>
      <c r="E3" s="19"/>
      <c r="F3" s="19"/>
      <c r="G3" s="19"/>
      <c r="H3" s="19"/>
      <c r="I3" s="19"/>
    </row>
    <row r="4" spans="2:11" ht="13.5" thickBot="1">
      <c r="B4" s="278" t="s">
        <v>42</v>
      </c>
      <c r="C4" s="279"/>
      <c r="D4" s="279"/>
      <c r="E4" s="279"/>
      <c r="F4" s="279"/>
      <c r="G4" s="279"/>
      <c r="H4" s="279"/>
      <c r="I4" s="279"/>
      <c r="J4" s="280"/>
      <c r="K4" s="235"/>
    </row>
    <row r="5" spans="2:11" ht="27.75" customHeight="1" thickBot="1">
      <c r="B5" s="219" t="s">
        <v>3</v>
      </c>
      <c r="C5" s="219" t="s">
        <v>52</v>
      </c>
      <c r="D5" s="219" t="s">
        <v>101</v>
      </c>
      <c r="E5" s="219" t="s">
        <v>103</v>
      </c>
      <c r="F5" s="219" t="s">
        <v>102</v>
      </c>
      <c r="G5" s="219" t="s">
        <v>268</v>
      </c>
      <c r="H5" s="219" t="s">
        <v>119</v>
      </c>
      <c r="I5" s="219" t="s">
        <v>269</v>
      </c>
      <c r="J5" s="196" t="s">
        <v>3</v>
      </c>
      <c r="K5" s="234"/>
    </row>
    <row r="6" spans="2:16" ht="13.5" thickBot="1">
      <c r="B6" s="220">
        <v>0</v>
      </c>
      <c r="C6" s="221">
        <v>0.006017</v>
      </c>
      <c r="D6" s="222">
        <v>0.0010002</v>
      </c>
      <c r="E6" s="222">
        <f>F6-D6</f>
        <v>206.2979998</v>
      </c>
      <c r="F6" s="221">
        <v>206.299</v>
      </c>
      <c r="G6" s="223">
        <v>0</v>
      </c>
      <c r="H6" s="223">
        <f>I6-G6</f>
        <v>2501.6</v>
      </c>
      <c r="I6" s="223">
        <v>2501.6</v>
      </c>
      <c r="J6" s="224">
        <v>0</v>
      </c>
      <c r="K6" s="19"/>
      <c r="L6" s="319"/>
      <c r="M6" s="373"/>
      <c r="N6" s="207" t="s">
        <v>343</v>
      </c>
      <c r="O6" s="207" t="s">
        <v>190</v>
      </c>
      <c r="P6" s="208" t="s">
        <v>189</v>
      </c>
    </row>
    <row r="7" spans="2:16" ht="12.75">
      <c r="B7" s="111">
        <f>B6+0.5</f>
        <v>0.5</v>
      </c>
      <c r="C7" s="44">
        <f>(C6+C8)/2</f>
        <v>0.0062765</v>
      </c>
      <c r="D7" s="96">
        <f>D6-1*(D6-D10)/4</f>
        <v>0.0010001749999999998</v>
      </c>
      <c r="E7" s="96">
        <f aca="true" t="shared" si="0" ref="E7:E70">F7-D7</f>
        <v>206.263999825</v>
      </c>
      <c r="F7" s="44">
        <f>F6-1*(F6-F10)/4</f>
        <v>206.26500000000001</v>
      </c>
      <c r="G7" s="99">
        <f>G6-1*(G6-G10)/4</f>
        <v>2.1</v>
      </c>
      <c r="H7" s="98">
        <f aca="true" t="shared" si="1" ref="H7:H70">I7-G7</f>
        <v>2500.4</v>
      </c>
      <c r="I7" s="99">
        <f>I6-1*(I6-I10)/4</f>
        <v>2502.5</v>
      </c>
      <c r="J7" s="225">
        <f>J6+0.5</f>
        <v>0.5</v>
      </c>
      <c r="K7" s="19"/>
      <c r="L7" s="209">
        <v>1</v>
      </c>
      <c r="M7" s="210" t="s">
        <v>43</v>
      </c>
      <c r="N7" s="211">
        <v>28.01</v>
      </c>
      <c r="O7" s="212">
        <v>743</v>
      </c>
      <c r="P7" s="213">
        <v>1039</v>
      </c>
    </row>
    <row r="8" spans="2:16" ht="12.75">
      <c r="B8" s="111">
        <f aca="true" t="shared" si="2" ref="B8:B71">B7+0.5</f>
        <v>1</v>
      </c>
      <c r="C8" s="44">
        <f>(C6+C10)/2</f>
        <v>0.006536</v>
      </c>
      <c r="D8" s="96">
        <f>D6-2*(D6-D10)/4</f>
        <v>0.00100015</v>
      </c>
      <c r="E8" s="96">
        <f t="shared" si="0"/>
        <v>206.22999984999998</v>
      </c>
      <c r="F8" s="44">
        <f>F6-2*(F6-F10)/4</f>
        <v>206.231</v>
      </c>
      <c r="G8" s="99">
        <f>G6-2*(G6-G10)/4</f>
        <v>4.2</v>
      </c>
      <c r="H8" s="98">
        <f t="shared" si="1"/>
        <v>2499.2</v>
      </c>
      <c r="I8" s="99">
        <f>I6-2*(I6-I10)/4</f>
        <v>2503.3999999999996</v>
      </c>
      <c r="J8" s="225">
        <f aca="true" t="shared" si="3" ref="J8:J71">J7+0.5</f>
        <v>1</v>
      </c>
      <c r="K8" s="19"/>
      <c r="L8" s="84">
        <v>2</v>
      </c>
      <c r="M8" s="86" t="s">
        <v>44</v>
      </c>
      <c r="N8" s="48">
        <v>2.018</v>
      </c>
      <c r="O8" s="2">
        <v>10183</v>
      </c>
      <c r="P8" s="81">
        <v>14307</v>
      </c>
    </row>
    <row r="9" spans="2:16" ht="12.75">
      <c r="B9" s="111">
        <f t="shared" si="2"/>
        <v>1.5</v>
      </c>
      <c r="C9" s="44">
        <f>(C8+C10)/2</f>
        <v>0.0067954999999999995</v>
      </c>
      <c r="D9" s="96">
        <f>D6-3*(D6-D10)/4</f>
        <v>0.0010001250000000001</v>
      </c>
      <c r="E9" s="96">
        <f t="shared" si="0"/>
        <v>206.195999875</v>
      </c>
      <c r="F9" s="44">
        <f>F6-3*(F6-F10)/4</f>
        <v>206.197</v>
      </c>
      <c r="G9" s="99">
        <f>G6-3*(G6-G10)/4</f>
        <v>6.300000000000001</v>
      </c>
      <c r="H9" s="98">
        <f t="shared" si="1"/>
        <v>2497.9999999999995</v>
      </c>
      <c r="I9" s="99">
        <f>I6-3*(I6-I10)/4</f>
        <v>2504.2999999999997</v>
      </c>
      <c r="J9" s="225">
        <f t="shared" si="3"/>
        <v>1.5</v>
      </c>
      <c r="K9" s="19"/>
      <c r="L9" s="84">
        <v>3</v>
      </c>
      <c r="M9" s="86" t="s">
        <v>45</v>
      </c>
      <c r="N9" s="47">
        <v>28.01</v>
      </c>
      <c r="O9" s="2">
        <v>744</v>
      </c>
      <c r="P9" s="81">
        <v>1040</v>
      </c>
    </row>
    <row r="10" spans="2:16" ht="12.75">
      <c r="B10" s="111">
        <f t="shared" si="2"/>
        <v>2</v>
      </c>
      <c r="C10" s="44">
        <v>0.007055</v>
      </c>
      <c r="D10" s="96">
        <v>0.0010001</v>
      </c>
      <c r="E10" s="96">
        <f t="shared" si="0"/>
        <v>206.1619999</v>
      </c>
      <c r="F10" s="44">
        <v>206.163</v>
      </c>
      <c r="G10" s="98">
        <v>8.4</v>
      </c>
      <c r="H10" s="98">
        <f t="shared" si="1"/>
        <v>2496.7999999999997</v>
      </c>
      <c r="I10" s="98">
        <v>2505.2</v>
      </c>
      <c r="J10" s="225">
        <f t="shared" si="3"/>
        <v>2</v>
      </c>
      <c r="K10" s="19"/>
      <c r="L10" s="84">
        <v>4</v>
      </c>
      <c r="M10" s="86" t="s">
        <v>46</v>
      </c>
      <c r="N10" s="47">
        <v>32</v>
      </c>
      <c r="O10" s="2">
        <v>658</v>
      </c>
      <c r="P10" s="81">
        <v>918</v>
      </c>
    </row>
    <row r="11" spans="2:16" ht="12.75">
      <c r="B11" s="111">
        <f t="shared" si="2"/>
        <v>2.5</v>
      </c>
      <c r="C11" s="44">
        <f>(C10+C12)/2</f>
        <v>0.0073235</v>
      </c>
      <c r="D11" s="96">
        <f>D10-1*(D10-D14)/4</f>
        <v>0.001000075</v>
      </c>
      <c r="E11" s="96">
        <f t="shared" si="0"/>
        <v>199.601999925</v>
      </c>
      <c r="F11" s="44">
        <f>F10-1*(F10-F14)/4</f>
        <v>199.603</v>
      </c>
      <c r="G11" s="99">
        <f>G10-1*(G10-G14)/4</f>
        <v>10.5</v>
      </c>
      <c r="H11" s="98">
        <f t="shared" si="1"/>
        <v>2495.625</v>
      </c>
      <c r="I11" s="99">
        <f>I10-1*(I10-I14)/4</f>
        <v>2506.125</v>
      </c>
      <c r="J11" s="225">
        <f t="shared" si="3"/>
        <v>2.5</v>
      </c>
      <c r="K11" s="19"/>
      <c r="L11" s="84">
        <v>5</v>
      </c>
      <c r="M11" s="86" t="s">
        <v>47</v>
      </c>
      <c r="N11" s="47">
        <v>28.97</v>
      </c>
      <c r="O11" s="2">
        <v>718</v>
      </c>
      <c r="P11" s="81">
        <v>1005</v>
      </c>
    </row>
    <row r="12" spans="2:16" ht="12.75">
      <c r="B12" s="111">
        <f t="shared" si="2"/>
        <v>3</v>
      </c>
      <c r="C12" s="44">
        <f>(C10+C14)/2</f>
        <v>0.007592</v>
      </c>
      <c r="D12" s="96">
        <f>D10-2*(D10-D14)/4</f>
        <v>0.0010000500000000002</v>
      </c>
      <c r="E12" s="96">
        <f t="shared" si="0"/>
        <v>193.04199995000002</v>
      </c>
      <c r="F12" s="44">
        <f>F10-2*(F10-F14)/4</f>
        <v>193.043</v>
      </c>
      <c r="G12" s="99">
        <f>G10-2*(G10-G14)/4</f>
        <v>12.600000000000001</v>
      </c>
      <c r="H12" s="98">
        <f t="shared" si="1"/>
        <v>2494.4500000000003</v>
      </c>
      <c r="I12" s="99">
        <f>I10-2*(I10-I14)/4</f>
        <v>2507.05</v>
      </c>
      <c r="J12" s="225">
        <f t="shared" si="3"/>
        <v>3</v>
      </c>
      <c r="K12" s="19"/>
      <c r="L12" s="84">
        <v>6</v>
      </c>
      <c r="M12" s="86" t="s">
        <v>48</v>
      </c>
      <c r="N12" s="47">
        <v>44.01</v>
      </c>
      <c r="O12" s="2">
        <v>657</v>
      </c>
      <c r="P12" s="81">
        <v>846</v>
      </c>
    </row>
    <row r="13" spans="2:16" ht="12.75">
      <c r="B13" s="111">
        <f t="shared" si="2"/>
        <v>3.5</v>
      </c>
      <c r="C13" s="44">
        <f>(C12+C14)/2</f>
        <v>0.0078605</v>
      </c>
      <c r="D13" s="96">
        <f>D10-3*(D10-D14)/4</f>
        <v>0.001000025</v>
      </c>
      <c r="E13" s="96">
        <f t="shared" si="0"/>
        <v>186.481999975</v>
      </c>
      <c r="F13" s="44">
        <f>F10-3*(F10-F14)/4</f>
        <v>186.483</v>
      </c>
      <c r="G13" s="99">
        <f>G10-3*(G10-G14)/4</f>
        <v>14.700000000000001</v>
      </c>
      <c r="H13" s="98">
        <f t="shared" si="1"/>
        <v>2493.275</v>
      </c>
      <c r="I13" s="99">
        <f>I10-3*(I10-I14)/4</f>
        <v>2507.975</v>
      </c>
      <c r="J13" s="225">
        <f t="shared" si="3"/>
        <v>3.5</v>
      </c>
      <c r="K13" s="19"/>
      <c r="L13" s="84">
        <v>7</v>
      </c>
      <c r="M13" s="86" t="s">
        <v>221</v>
      </c>
      <c r="N13" s="47">
        <v>18.02</v>
      </c>
      <c r="O13" s="2">
        <v>1440</v>
      </c>
      <c r="P13" s="81">
        <v>1900</v>
      </c>
    </row>
    <row r="14" spans="2:16" ht="12.75">
      <c r="B14" s="111">
        <f t="shared" si="2"/>
        <v>4</v>
      </c>
      <c r="C14" s="44">
        <v>0.008129</v>
      </c>
      <c r="D14" s="96">
        <v>0.001</v>
      </c>
      <c r="E14" s="96">
        <f t="shared" si="0"/>
        <v>179.922</v>
      </c>
      <c r="F14" s="44">
        <v>179.923</v>
      </c>
      <c r="G14" s="98">
        <v>16.8</v>
      </c>
      <c r="H14" s="98">
        <f t="shared" si="1"/>
        <v>2492.1</v>
      </c>
      <c r="I14" s="98">
        <v>2508.9</v>
      </c>
      <c r="J14" s="225">
        <f t="shared" si="3"/>
        <v>4</v>
      </c>
      <c r="K14" s="19"/>
      <c r="L14" s="84">
        <v>8</v>
      </c>
      <c r="M14" s="86" t="s">
        <v>326</v>
      </c>
      <c r="N14" s="2">
        <v>39.948</v>
      </c>
      <c r="O14" s="2">
        <v>312</v>
      </c>
      <c r="P14" s="81">
        <v>520</v>
      </c>
    </row>
    <row r="15" spans="2:16" ht="12.75">
      <c r="B15" s="111">
        <f t="shared" si="2"/>
        <v>4.5</v>
      </c>
      <c r="C15" s="44">
        <f>(C14+C16)/2</f>
        <v>0.008433</v>
      </c>
      <c r="D15" s="96">
        <v>0.001</v>
      </c>
      <c r="E15" s="96">
        <f t="shared" si="0"/>
        <v>174.25924999999998</v>
      </c>
      <c r="F15" s="44">
        <f>F14-1*(F14-F18)/4</f>
        <v>174.26024999999998</v>
      </c>
      <c r="G15" s="99">
        <f>G14-1*(G14-G18)/4</f>
        <v>18.9</v>
      </c>
      <c r="H15" s="98">
        <f t="shared" si="1"/>
        <v>2490.9249999999997</v>
      </c>
      <c r="I15" s="99">
        <f>I14-1*(I14-I18)/4</f>
        <v>2509.825</v>
      </c>
      <c r="J15" s="225">
        <f t="shared" si="3"/>
        <v>4.5</v>
      </c>
      <c r="K15" s="19"/>
      <c r="L15" s="84">
        <v>9</v>
      </c>
      <c r="M15" s="86" t="s">
        <v>327</v>
      </c>
      <c r="N15" s="2">
        <v>58.124</v>
      </c>
      <c r="O15" s="2">
        <v>1573</v>
      </c>
      <c r="P15" s="81">
        <v>1716</v>
      </c>
    </row>
    <row r="16" spans="2:16" ht="12.75">
      <c r="B16" s="111">
        <f t="shared" si="2"/>
        <v>5</v>
      </c>
      <c r="C16" s="44">
        <f>(C14+C18)/2</f>
        <v>0.008737</v>
      </c>
      <c r="D16" s="96">
        <v>0.001</v>
      </c>
      <c r="E16" s="96">
        <f t="shared" si="0"/>
        <v>168.5965</v>
      </c>
      <c r="F16" s="44">
        <f>F14-2*(F14-F18)/4</f>
        <v>168.5975</v>
      </c>
      <c r="G16" s="99">
        <f>G14-2*(G14-G18)/4</f>
        <v>21</v>
      </c>
      <c r="H16" s="98">
        <f t="shared" si="1"/>
        <v>2489.75</v>
      </c>
      <c r="I16" s="99">
        <f>I14-2*(I14-I18)/4</f>
        <v>2510.75</v>
      </c>
      <c r="J16" s="225">
        <f t="shared" si="3"/>
        <v>5</v>
      </c>
      <c r="K16" s="19"/>
      <c r="L16" s="84">
        <v>10</v>
      </c>
      <c r="M16" s="86" t="s">
        <v>328</v>
      </c>
      <c r="N16" s="2">
        <v>30.07</v>
      </c>
      <c r="O16" s="2">
        <v>1490</v>
      </c>
      <c r="P16" s="81">
        <v>1766</v>
      </c>
    </row>
    <row r="17" spans="2:16" ht="12.75">
      <c r="B17" s="111">
        <f t="shared" si="2"/>
        <v>5.5</v>
      </c>
      <c r="C17" s="44">
        <f>(C16+C18)/2</f>
        <v>0.009041</v>
      </c>
      <c r="D17" s="96">
        <v>0.001</v>
      </c>
      <c r="E17" s="96">
        <f t="shared" si="0"/>
        <v>162.93375</v>
      </c>
      <c r="F17" s="44">
        <f>F14-3*(F14-F18)/4</f>
        <v>162.93475</v>
      </c>
      <c r="G17" s="99">
        <f>G14-3*(G14-G18)/4</f>
        <v>23.1</v>
      </c>
      <c r="H17" s="98">
        <f t="shared" si="1"/>
        <v>2488.5750000000003</v>
      </c>
      <c r="I17" s="99">
        <f>I14-3*(I14-I18)/4</f>
        <v>2511.675</v>
      </c>
      <c r="J17" s="225">
        <f t="shared" si="3"/>
        <v>5.5</v>
      </c>
      <c r="K17" s="19"/>
      <c r="L17" s="84">
        <v>11</v>
      </c>
      <c r="M17" s="86" t="s">
        <v>329</v>
      </c>
      <c r="N17" s="2">
        <v>28.054</v>
      </c>
      <c r="O17" s="2">
        <v>1252</v>
      </c>
      <c r="P17" s="81">
        <v>1548</v>
      </c>
    </row>
    <row r="18" spans="2:16" ht="12.75">
      <c r="B18" s="111">
        <f t="shared" si="2"/>
        <v>6</v>
      </c>
      <c r="C18" s="44">
        <v>0.009345</v>
      </c>
      <c r="D18" s="96">
        <v>0.001</v>
      </c>
      <c r="E18" s="96">
        <f t="shared" si="0"/>
        <v>157.271</v>
      </c>
      <c r="F18" s="44">
        <v>157.272</v>
      </c>
      <c r="G18" s="98">
        <v>25.2</v>
      </c>
      <c r="H18" s="98">
        <f t="shared" si="1"/>
        <v>2487.4</v>
      </c>
      <c r="I18" s="98">
        <v>2512.6</v>
      </c>
      <c r="J18" s="225">
        <f t="shared" si="3"/>
        <v>6</v>
      </c>
      <c r="K18" s="19"/>
      <c r="L18" s="84">
        <v>12</v>
      </c>
      <c r="M18" s="86" t="s">
        <v>330</v>
      </c>
      <c r="N18" s="2">
        <v>4.003</v>
      </c>
      <c r="O18" s="2">
        <v>3115</v>
      </c>
      <c r="P18" s="81">
        <v>5192</v>
      </c>
    </row>
    <row r="19" spans="2:16" ht="12.75">
      <c r="B19" s="111">
        <f t="shared" si="2"/>
        <v>6.5</v>
      </c>
      <c r="C19" s="44">
        <f>(C18+C20)/2</f>
        <v>0.00968875</v>
      </c>
      <c r="D19" s="96">
        <f>D18-1*(D18-D22)/4</f>
        <v>0.001000025</v>
      </c>
      <c r="E19" s="96">
        <f t="shared" si="0"/>
        <v>148.19449997499999</v>
      </c>
      <c r="F19" s="44">
        <f>F18-1*(F18-F22)/4</f>
        <v>148.19549999999998</v>
      </c>
      <c r="G19" s="99">
        <f>G18-1*(G18-G22)/4</f>
        <v>27.3</v>
      </c>
      <c r="H19" s="98">
        <f t="shared" si="1"/>
        <v>2486.2</v>
      </c>
      <c r="I19" s="99">
        <f>I18-1*(I18-I22)/4</f>
        <v>2513.5</v>
      </c>
      <c r="J19" s="225">
        <f t="shared" si="3"/>
        <v>6.5</v>
      </c>
      <c r="K19" s="19"/>
      <c r="L19" s="84">
        <v>13</v>
      </c>
      <c r="M19" s="86" t="s">
        <v>331</v>
      </c>
      <c r="N19" s="2">
        <v>16.04</v>
      </c>
      <c r="O19" s="2">
        <v>1735</v>
      </c>
      <c r="P19" s="81">
        <v>2253</v>
      </c>
    </row>
    <row r="20" spans="2:16" ht="12.75">
      <c r="B20" s="111">
        <f t="shared" si="2"/>
        <v>7</v>
      </c>
      <c r="C20" s="44">
        <f>(C18+C22)/2</f>
        <v>0.0100325</v>
      </c>
      <c r="D20" s="96">
        <f>D18-2*(D18-D22)/4</f>
        <v>0.0010000500000000002</v>
      </c>
      <c r="E20" s="96">
        <f t="shared" si="0"/>
        <v>139.11799995</v>
      </c>
      <c r="F20" s="44">
        <f>F18-2*(F18-F22)/4</f>
        <v>139.119</v>
      </c>
      <c r="G20" s="99">
        <f>G18-2*(G18-G22)/4</f>
        <v>29.4</v>
      </c>
      <c r="H20" s="98">
        <f t="shared" si="1"/>
        <v>2484.9999999999995</v>
      </c>
      <c r="I20" s="99">
        <f>I18-2*(I18-I22)/4</f>
        <v>2514.3999999999996</v>
      </c>
      <c r="J20" s="225">
        <f t="shared" si="3"/>
        <v>7</v>
      </c>
      <c r="K20" s="19"/>
      <c r="L20" s="84">
        <v>14</v>
      </c>
      <c r="M20" s="86" t="s">
        <v>332</v>
      </c>
      <c r="N20" s="2">
        <v>20.183</v>
      </c>
      <c r="O20" s="2">
        <v>618</v>
      </c>
      <c r="P20" s="81">
        <v>1030</v>
      </c>
    </row>
    <row r="21" spans="2:16" ht="13.5" thickBot="1">
      <c r="B21" s="111">
        <f t="shared" si="2"/>
        <v>7.5</v>
      </c>
      <c r="C21" s="44">
        <f>(C20+C22)/2</f>
        <v>0.01037625</v>
      </c>
      <c r="D21" s="96">
        <f>D18-3*(D18-D22)/4</f>
        <v>0.001000075</v>
      </c>
      <c r="E21" s="96">
        <f t="shared" si="0"/>
        <v>130.04149992499998</v>
      </c>
      <c r="F21" s="44">
        <f>F18-3*(F18-F22)/4</f>
        <v>130.0425</v>
      </c>
      <c r="G21" s="99">
        <f>G18-3*(G18-G22)/4</f>
        <v>31.5</v>
      </c>
      <c r="H21" s="98">
        <f t="shared" si="1"/>
        <v>2483.7999999999997</v>
      </c>
      <c r="I21" s="99">
        <f>I18-3*(I18-I22)/4</f>
        <v>2515.2999999999997</v>
      </c>
      <c r="J21" s="225">
        <f t="shared" si="3"/>
        <v>7.5</v>
      </c>
      <c r="K21" s="19"/>
      <c r="L21" s="85">
        <v>15</v>
      </c>
      <c r="M21" s="87" t="s">
        <v>333</v>
      </c>
      <c r="N21" s="82">
        <v>44.097</v>
      </c>
      <c r="O21" s="82">
        <v>1491</v>
      </c>
      <c r="P21" s="83">
        <v>1679</v>
      </c>
    </row>
    <row r="22" spans="2:11" ht="12.75">
      <c r="B22" s="111">
        <f t="shared" si="2"/>
        <v>8</v>
      </c>
      <c r="C22" s="44">
        <v>0.01072</v>
      </c>
      <c r="D22" s="96">
        <v>0.0010001</v>
      </c>
      <c r="E22" s="96">
        <f t="shared" si="0"/>
        <v>120.9649999</v>
      </c>
      <c r="F22" s="44">
        <v>120.966</v>
      </c>
      <c r="G22" s="98">
        <v>33.6</v>
      </c>
      <c r="H22" s="98">
        <f t="shared" si="1"/>
        <v>2482.6</v>
      </c>
      <c r="I22" s="226">
        <v>2516.2</v>
      </c>
      <c r="J22" s="225">
        <f t="shared" si="3"/>
        <v>8</v>
      </c>
      <c r="K22" s="19"/>
    </row>
    <row r="23" spans="2:11" ht="12.75">
      <c r="B23" s="111">
        <f t="shared" si="2"/>
        <v>8.5</v>
      </c>
      <c r="C23" s="44">
        <f>(C22+C24)/2</f>
        <v>0.0111075</v>
      </c>
      <c r="D23" s="96">
        <v>0.00100015</v>
      </c>
      <c r="E23" s="96">
        <f t="shared" si="0"/>
        <v>117.33099985</v>
      </c>
      <c r="F23" s="44">
        <f>F22-1*(F22-F26)/4</f>
        <v>117.332</v>
      </c>
      <c r="G23" s="99">
        <f>G22-1*(G22-G26)/4</f>
        <v>35.7</v>
      </c>
      <c r="H23" s="98">
        <f t="shared" si="1"/>
        <v>2481.425</v>
      </c>
      <c r="I23" s="99">
        <f>I22-1*(I22-I26)/4</f>
        <v>2517.125</v>
      </c>
      <c r="J23" s="225">
        <f t="shared" si="3"/>
        <v>8.5</v>
      </c>
      <c r="K23" s="19"/>
    </row>
    <row r="24" spans="2:11" ht="12.75">
      <c r="B24" s="111">
        <f t="shared" si="2"/>
        <v>9</v>
      </c>
      <c r="C24" s="44">
        <f>(C22+C26)/2</f>
        <v>0.011495</v>
      </c>
      <c r="D24" s="96">
        <v>0.0010002</v>
      </c>
      <c r="E24" s="96">
        <f t="shared" si="0"/>
        <v>113.69699980000001</v>
      </c>
      <c r="F24" s="44">
        <f>F22-2*(F22-F26)/4</f>
        <v>113.69800000000001</v>
      </c>
      <c r="G24" s="99">
        <f>G22-2*(G22-G26)/4</f>
        <v>37.8</v>
      </c>
      <c r="H24" s="98">
        <f t="shared" si="1"/>
        <v>2480.25</v>
      </c>
      <c r="I24" s="99">
        <f>I22-2*(I22-I26)/4</f>
        <v>2518.05</v>
      </c>
      <c r="J24" s="225">
        <f t="shared" si="3"/>
        <v>9</v>
      </c>
      <c r="K24" s="19"/>
    </row>
    <row r="25" spans="2:11" ht="12.75">
      <c r="B25" s="111">
        <f t="shared" si="2"/>
        <v>9.5</v>
      </c>
      <c r="C25" s="44">
        <f>(C24+C26)/2</f>
        <v>0.0118825</v>
      </c>
      <c r="D25" s="96">
        <v>0.00100025</v>
      </c>
      <c r="E25" s="96">
        <f t="shared" si="0"/>
        <v>110.06299975</v>
      </c>
      <c r="F25" s="44">
        <f>F22-3*(F22-F26)/4</f>
        <v>110.06400000000001</v>
      </c>
      <c r="G25" s="99">
        <f>G22-3*(G22-G26)/4</f>
        <v>39.9</v>
      </c>
      <c r="H25" s="98">
        <f t="shared" si="1"/>
        <v>2479.075</v>
      </c>
      <c r="I25" s="99">
        <f>I22-3*(I22-I26)/4</f>
        <v>2518.975</v>
      </c>
      <c r="J25" s="225">
        <f t="shared" si="3"/>
        <v>9.5</v>
      </c>
      <c r="K25" s="19"/>
    </row>
    <row r="26" spans="2:11" ht="12.75">
      <c r="B26" s="111">
        <f t="shared" si="2"/>
        <v>10</v>
      </c>
      <c r="C26" s="44">
        <v>0.01227</v>
      </c>
      <c r="D26" s="96">
        <v>0.0010003</v>
      </c>
      <c r="E26" s="96">
        <f t="shared" si="0"/>
        <v>106.4289997</v>
      </c>
      <c r="F26" s="44">
        <v>106.43</v>
      </c>
      <c r="G26" s="98">
        <v>42</v>
      </c>
      <c r="H26" s="98">
        <f t="shared" si="1"/>
        <v>2477.9</v>
      </c>
      <c r="I26" s="226">
        <v>2519.9</v>
      </c>
      <c r="J26" s="225">
        <f t="shared" si="3"/>
        <v>10</v>
      </c>
      <c r="K26" s="19"/>
    </row>
    <row r="27" spans="2:11" ht="12.75">
      <c r="B27" s="111">
        <f t="shared" si="2"/>
        <v>10.5</v>
      </c>
      <c r="C27" s="44">
        <f>(C26+C28)/2</f>
        <v>0.012706</v>
      </c>
      <c r="D27" s="96">
        <f>D26-1*(D26-D30)/4</f>
        <v>0.001000325</v>
      </c>
      <c r="E27" s="96">
        <f t="shared" si="0"/>
        <v>103.280249675</v>
      </c>
      <c r="F27" s="44">
        <f>F26-1*(F26-F30)/4</f>
        <v>103.28125</v>
      </c>
      <c r="G27" s="99">
        <f>G26-1*(G26-G30)/4</f>
        <v>44.1</v>
      </c>
      <c r="H27" s="98">
        <f t="shared" si="1"/>
        <v>2476.725</v>
      </c>
      <c r="I27" s="99">
        <f>I26-1*(I26-I30)/4</f>
        <v>2520.825</v>
      </c>
      <c r="J27" s="225">
        <f t="shared" si="3"/>
        <v>10.5</v>
      </c>
      <c r="K27" s="19"/>
    </row>
    <row r="28" spans="2:11" ht="12.75">
      <c r="B28" s="111">
        <f t="shared" si="2"/>
        <v>11</v>
      </c>
      <c r="C28" s="44">
        <f>(C26+C30)/2</f>
        <v>0.013142000000000001</v>
      </c>
      <c r="D28" s="96">
        <f>D26-2*(D26-D30)/4</f>
        <v>0.0010003500000000001</v>
      </c>
      <c r="E28" s="96">
        <f t="shared" si="0"/>
        <v>100.13149965</v>
      </c>
      <c r="F28" s="44">
        <f>F26-2*(F26-F30)/4</f>
        <v>100.1325</v>
      </c>
      <c r="G28" s="99">
        <f>G26-2*(G26-G30)/4</f>
        <v>46.2</v>
      </c>
      <c r="H28" s="98">
        <f t="shared" si="1"/>
        <v>2475.55</v>
      </c>
      <c r="I28" s="99">
        <f>I26-2*(I26-I30)/4</f>
        <v>2521.75</v>
      </c>
      <c r="J28" s="225">
        <f t="shared" si="3"/>
        <v>11</v>
      </c>
      <c r="K28" s="19"/>
    </row>
    <row r="29" spans="2:11" ht="12.75">
      <c r="B29" s="111">
        <f t="shared" si="2"/>
        <v>11.5</v>
      </c>
      <c r="C29" s="44">
        <f>(C28+C30)/2</f>
        <v>0.013578</v>
      </c>
      <c r="D29" s="96">
        <f>D26-3*(D26-D30)/4</f>
        <v>0.001000375</v>
      </c>
      <c r="E29" s="96">
        <f t="shared" si="0"/>
        <v>96.982749625</v>
      </c>
      <c r="F29" s="44">
        <f>F26-3*(F26-F30)/4</f>
        <v>96.98375</v>
      </c>
      <c r="G29" s="99">
        <f>G26-3*(G26-G30)/4</f>
        <v>48.3</v>
      </c>
      <c r="H29" s="98">
        <f t="shared" si="1"/>
        <v>2474.375</v>
      </c>
      <c r="I29" s="99">
        <f>I26-3*(I26-I30)/4</f>
        <v>2522.675</v>
      </c>
      <c r="J29" s="225">
        <f t="shared" si="3"/>
        <v>11.5</v>
      </c>
      <c r="K29" s="19"/>
    </row>
    <row r="30" spans="2:11" ht="12.75">
      <c r="B30" s="111">
        <f t="shared" si="2"/>
        <v>12</v>
      </c>
      <c r="C30" s="44">
        <v>0.014014</v>
      </c>
      <c r="D30" s="96">
        <v>0.0010004</v>
      </c>
      <c r="E30" s="96">
        <f t="shared" si="0"/>
        <v>93.8339996</v>
      </c>
      <c r="F30" s="44">
        <v>93.835</v>
      </c>
      <c r="G30" s="98">
        <v>50.4</v>
      </c>
      <c r="H30" s="98">
        <f t="shared" si="1"/>
        <v>2473.2</v>
      </c>
      <c r="I30" s="98">
        <v>2523.6</v>
      </c>
      <c r="J30" s="225">
        <f t="shared" si="3"/>
        <v>12</v>
      </c>
      <c r="K30" s="19"/>
    </row>
    <row r="31" spans="2:11" ht="12.75">
      <c r="B31" s="111">
        <f t="shared" si="2"/>
        <v>12.5</v>
      </c>
      <c r="C31" s="44">
        <f>(C30+C32)/2</f>
        <v>0.01450375</v>
      </c>
      <c r="D31" s="96">
        <f>D30-1*(D30-D34)/4</f>
        <v>0.001000475</v>
      </c>
      <c r="E31" s="96">
        <f t="shared" si="0"/>
        <v>91.100249525</v>
      </c>
      <c r="F31" s="44">
        <f>F30-1*(F30-F34)/4</f>
        <v>91.10125</v>
      </c>
      <c r="G31" s="99">
        <f>G30-1*(G30-G34)/4</f>
        <v>52.5</v>
      </c>
      <c r="H31" s="98">
        <f t="shared" si="1"/>
        <v>2472</v>
      </c>
      <c r="I31" s="99">
        <f>I30-1*(I30-I34)/4</f>
        <v>2524.5</v>
      </c>
      <c r="J31" s="225">
        <f t="shared" si="3"/>
        <v>12.5</v>
      </c>
      <c r="K31" s="19"/>
    </row>
    <row r="32" spans="2:11" ht="12.75">
      <c r="B32" s="111">
        <f t="shared" si="2"/>
        <v>13</v>
      </c>
      <c r="C32" s="44">
        <f>(C30+C34)/2</f>
        <v>0.0149935</v>
      </c>
      <c r="D32" s="96">
        <f>D30-2*(D30-D34)/4</f>
        <v>0.00100055</v>
      </c>
      <c r="E32" s="96">
        <f t="shared" si="0"/>
        <v>88.36649945</v>
      </c>
      <c r="F32" s="44">
        <f>F30-2*(F30-F34)/4</f>
        <v>88.3675</v>
      </c>
      <c r="G32" s="99">
        <f>G30-2*(G30-G34)/4</f>
        <v>54.599999999999994</v>
      </c>
      <c r="H32" s="98">
        <f t="shared" si="1"/>
        <v>2470.7999999999997</v>
      </c>
      <c r="I32" s="99">
        <f>I30-2*(I30-I34)/4</f>
        <v>2525.3999999999996</v>
      </c>
      <c r="J32" s="225">
        <f t="shared" si="3"/>
        <v>13</v>
      </c>
      <c r="K32" s="19"/>
    </row>
    <row r="33" spans="2:11" ht="12.75">
      <c r="B33" s="111">
        <f t="shared" si="2"/>
        <v>13.5</v>
      </c>
      <c r="C33" s="44">
        <f>(C32+C34)/2</f>
        <v>0.01548325</v>
      </c>
      <c r="D33" s="96">
        <f>D30-3*(D30-D34)/4</f>
        <v>0.001000625</v>
      </c>
      <c r="E33" s="96">
        <f t="shared" si="0"/>
        <v>85.632749375</v>
      </c>
      <c r="F33" s="44">
        <f>F30-3*(F30-F34)/4</f>
        <v>85.63375</v>
      </c>
      <c r="G33" s="99">
        <f>G30-3*(G30-G34)/4</f>
        <v>56.699999999999996</v>
      </c>
      <c r="H33" s="98">
        <f t="shared" si="1"/>
        <v>2469.6</v>
      </c>
      <c r="I33" s="99">
        <f>I30-3*(I30-I34)/4</f>
        <v>2526.2999999999997</v>
      </c>
      <c r="J33" s="225">
        <f t="shared" si="3"/>
        <v>13.5</v>
      </c>
      <c r="K33" s="19"/>
    </row>
    <row r="34" spans="2:11" ht="12.75">
      <c r="B34" s="111">
        <f t="shared" si="2"/>
        <v>14</v>
      </c>
      <c r="C34" s="44">
        <v>0.015973</v>
      </c>
      <c r="D34" s="96">
        <v>0.0010007</v>
      </c>
      <c r="E34" s="96">
        <f t="shared" si="0"/>
        <v>82.8989993</v>
      </c>
      <c r="F34" s="44">
        <v>82.9</v>
      </c>
      <c r="G34" s="102">
        <v>58.8</v>
      </c>
      <c r="H34" s="98">
        <f t="shared" si="1"/>
        <v>2468.3999999999996</v>
      </c>
      <c r="I34" s="99">
        <v>2527.2</v>
      </c>
      <c r="J34" s="225">
        <f t="shared" si="3"/>
        <v>14</v>
      </c>
      <c r="K34" s="19"/>
    </row>
    <row r="35" spans="2:11" ht="12.75">
      <c r="B35" s="111">
        <f t="shared" si="2"/>
        <v>14.5</v>
      </c>
      <c r="C35" s="44">
        <f>(C34+C36)/2</f>
        <v>0.016514</v>
      </c>
      <c r="D35" s="96">
        <v>0.00100075</v>
      </c>
      <c r="E35" s="96">
        <f t="shared" si="0"/>
        <v>80.43799924999999</v>
      </c>
      <c r="F35" s="44">
        <f>F36+(F34-F36)/2</f>
        <v>80.439</v>
      </c>
      <c r="G35" s="99">
        <f>G36+(G34-G36)/2</f>
        <v>60.849999999999994</v>
      </c>
      <c r="H35" s="98">
        <f t="shared" si="1"/>
        <v>2467.2999999999997</v>
      </c>
      <c r="I35" s="99">
        <f>I36+(I34-I36)/2</f>
        <v>2528.1499999999996</v>
      </c>
      <c r="J35" s="225">
        <f t="shared" si="3"/>
        <v>14.5</v>
      </c>
      <c r="K35" s="19"/>
    </row>
    <row r="36" spans="2:11" ht="12.75">
      <c r="B36" s="111">
        <f t="shared" si="2"/>
        <v>15</v>
      </c>
      <c r="C36" s="44">
        <v>0.017055</v>
      </c>
      <c r="D36" s="96">
        <v>0.0010008</v>
      </c>
      <c r="E36" s="96">
        <f t="shared" si="0"/>
        <v>77.9769992</v>
      </c>
      <c r="F36" s="44">
        <v>77.978</v>
      </c>
      <c r="G36" s="102">
        <v>62.9</v>
      </c>
      <c r="H36" s="98">
        <f t="shared" si="1"/>
        <v>2466.2</v>
      </c>
      <c r="I36" s="99">
        <v>2529.1</v>
      </c>
      <c r="J36" s="225">
        <f t="shared" si="3"/>
        <v>15</v>
      </c>
      <c r="K36" s="19"/>
    </row>
    <row r="37" spans="2:11" ht="12.75">
      <c r="B37" s="111">
        <f t="shared" si="2"/>
        <v>15.5</v>
      </c>
      <c r="C37" s="44">
        <f>(C36+C38)/2</f>
        <v>0.01762</v>
      </c>
      <c r="D37" s="96">
        <v>0.0010009</v>
      </c>
      <c r="E37" s="96">
        <f t="shared" si="0"/>
        <v>75.6799991</v>
      </c>
      <c r="F37" s="44">
        <f>F38+(F36-F38)/2</f>
        <v>75.681</v>
      </c>
      <c r="G37" s="99">
        <f>G38+(G36-G38)/2</f>
        <v>65</v>
      </c>
      <c r="H37" s="98">
        <f t="shared" si="1"/>
        <v>2465</v>
      </c>
      <c r="I37" s="99">
        <f>I38+(I36-I38)/2</f>
        <v>2530</v>
      </c>
      <c r="J37" s="225">
        <f t="shared" si="3"/>
        <v>15.5</v>
      </c>
      <c r="K37" s="19"/>
    </row>
    <row r="38" spans="2:11" ht="12.75">
      <c r="B38" s="111">
        <f t="shared" si="2"/>
        <v>16</v>
      </c>
      <c r="C38" s="44">
        <v>0.018185</v>
      </c>
      <c r="D38" s="96">
        <v>0.001001</v>
      </c>
      <c r="E38" s="96">
        <f t="shared" si="0"/>
        <v>73.382999</v>
      </c>
      <c r="F38" s="43">
        <v>73.384</v>
      </c>
      <c r="G38" s="99">
        <v>67.1</v>
      </c>
      <c r="H38" s="98">
        <f t="shared" si="1"/>
        <v>2463.8</v>
      </c>
      <c r="I38" s="99">
        <v>2530.9</v>
      </c>
      <c r="J38" s="225">
        <f t="shared" si="3"/>
        <v>16</v>
      </c>
      <c r="K38" s="19"/>
    </row>
    <row r="39" spans="2:11" ht="12.75">
      <c r="B39" s="111">
        <f t="shared" si="2"/>
        <v>16.5</v>
      </c>
      <c r="C39" s="44">
        <f>(C38+C40)/2</f>
        <v>0.0187825</v>
      </c>
      <c r="D39" s="96">
        <f>D38-1*(D38-D42)/4</f>
        <v>0.001001075</v>
      </c>
      <c r="E39" s="96">
        <f t="shared" si="0"/>
        <v>71.308748925</v>
      </c>
      <c r="F39" s="44">
        <f>F38-1*(F38-F42)/4</f>
        <v>71.30975000000001</v>
      </c>
      <c r="G39" s="99">
        <f>G38-1*(G38-G42)/4</f>
        <v>69.19999999999999</v>
      </c>
      <c r="H39" s="98">
        <f t="shared" si="1"/>
        <v>2462.6000000000004</v>
      </c>
      <c r="I39" s="99">
        <f>I38-1*(I38-I42)/4</f>
        <v>2531.8</v>
      </c>
      <c r="J39" s="225">
        <f t="shared" si="3"/>
        <v>16.5</v>
      </c>
      <c r="K39" s="19"/>
    </row>
    <row r="40" spans="2:11" ht="12.75">
      <c r="B40" s="111">
        <f t="shared" si="2"/>
        <v>17</v>
      </c>
      <c r="C40" s="44">
        <v>0.01938</v>
      </c>
      <c r="D40" s="96">
        <f>D38-2*(D38-D42)/4</f>
        <v>0.0010011500000000001</v>
      </c>
      <c r="E40" s="96">
        <f t="shared" si="0"/>
        <v>69.23449885000001</v>
      </c>
      <c r="F40" s="44">
        <f>F38-2*(F38-F42)/4</f>
        <v>69.2355</v>
      </c>
      <c r="G40" s="99">
        <f>G38-2*(G38-G42)/4</f>
        <v>71.3</v>
      </c>
      <c r="H40" s="98">
        <f t="shared" si="1"/>
        <v>2461.3999999999996</v>
      </c>
      <c r="I40" s="99">
        <f>I38-2*(I38-I42)/4</f>
        <v>2532.7</v>
      </c>
      <c r="J40" s="225">
        <f t="shared" si="3"/>
        <v>17</v>
      </c>
      <c r="K40" s="19"/>
    </row>
    <row r="41" spans="2:11" ht="12.75">
      <c r="B41" s="111">
        <f t="shared" si="2"/>
        <v>17.5</v>
      </c>
      <c r="C41" s="44">
        <f>(C40+C42)/2</f>
        <v>0.0200115</v>
      </c>
      <c r="D41" s="96">
        <f>D38-3*(D38-D42)/4</f>
        <v>0.0010012250000000001</v>
      </c>
      <c r="E41" s="96">
        <f t="shared" si="0"/>
        <v>67.160248775</v>
      </c>
      <c r="F41" s="44">
        <f>F38-3*(F38-F42)/4</f>
        <v>67.16125</v>
      </c>
      <c r="G41" s="99">
        <f>G38-3*(G38-G42)/4</f>
        <v>73.4</v>
      </c>
      <c r="H41" s="98">
        <f t="shared" si="1"/>
        <v>2460.2</v>
      </c>
      <c r="I41" s="99">
        <f>I38-3*(I38-I42)/4</f>
        <v>2533.6</v>
      </c>
      <c r="J41" s="225">
        <f t="shared" si="3"/>
        <v>17.5</v>
      </c>
      <c r="K41" s="19"/>
    </row>
    <row r="42" spans="2:11" ht="12.75">
      <c r="B42" s="111">
        <f t="shared" si="2"/>
        <v>18</v>
      </c>
      <c r="C42" s="45">
        <v>0.020643</v>
      </c>
      <c r="D42" s="95">
        <v>0.0010013</v>
      </c>
      <c r="E42" s="96">
        <f t="shared" si="0"/>
        <v>65.0859987</v>
      </c>
      <c r="F42" s="44">
        <v>65.087</v>
      </c>
      <c r="G42" s="103">
        <v>75.5</v>
      </c>
      <c r="H42" s="98">
        <f t="shared" si="1"/>
        <v>2459</v>
      </c>
      <c r="I42" s="103">
        <v>2534.5</v>
      </c>
      <c r="J42" s="225">
        <f t="shared" si="3"/>
        <v>18</v>
      </c>
      <c r="K42" s="19"/>
    </row>
    <row r="43" spans="2:11" ht="12.75">
      <c r="B43" s="111">
        <f t="shared" si="2"/>
        <v>18.5</v>
      </c>
      <c r="C43" s="44">
        <f>(C42+C44)/2</f>
        <v>0.021311</v>
      </c>
      <c r="D43" s="95">
        <v>0.0010014</v>
      </c>
      <c r="E43" s="96">
        <f t="shared" si="0"/>
        <v>63.273748600000005</v>
      </c>
      <c r="F43" s="44">
        <f>F42-1*(F42-F46)/4</f>
        <v>63.274750000000004</v>
      </c>
      <c r="G43" s="99">
        <f>G42-1*(G42-G46)/4</f>
        <v>77.6</v>
      </c>
      <c r="H43" s="98">
        <f t="shared" si="1"/>
        <v>2457.8250000000003</v>
      </c>
      <c r="I43" s="99">
        <f>I42-1*(I42-I46)/4</f>
        <v>2535.425</v>
      </c>
      <c r="J43" s="225">
        <f t="shared" si="3"/>
        <v>18.5</v>
      </c>
      <c r="K43" s="19"/>
    </row>
    <row r="44" spans="2:11" ht="12.75">
      <c r="B44" s="111">
        <f t="shared" si="2"/>
        <v>19</v>
      </c>
      <c r="C44" s="44">
        <v>0.021979</v>
      </c>
      <c r="D44" s="96">
        <v>0.0010015</v>
      </c>
      <c r="E44" s="96">
        <f t="shared" si="0"/>
        <v>61.461498500000005</v>
      </c>
      <c r="F44" s="44">
        <f>F42-2*(F42-F46)/4</f>
        <v>61.462500000000006</v>
      </c>
      <c r="G44" s="99">
        <f>G42-2*(G42-G46)/4</f>
        <v>79.7</v>
      </c>
      <c r="H44" s="98">
        <f t="shared" si="1"/>
        <v>2456.65</v>
      </c>
      <c r="I44" s="99">
        <f>I42-2*(I42-I46)/4</f>
        <v>2536.35</v>
      </c>
      <c r="J44" s="225">
        <f t="shared" si="3"/>
        <v>19</v>
      </c>
      <c r="K44" s="19"/>
    </row>
    <row r="45" spans="2:11" ht="12.75">
      <c r="B45" s="111">
        <f t="shared" si="2"/>
        <v>19.5</v>
      </c>
      <c r="C45" s="44">
        <f>(C44+C46)/2</f>
        <v>0.022684</v>
      </c>
      <c r="D45" s="96">
        <v>0.0010016</v>
      </c>
      <c r="E45" s="96">
        <f t="shared" si="0"/>
        <v>59.6492484</v>
      </c>
      <c r="F45" s="44">
        <f>F42-3*(F42-F46)/4</f>
        <v>59.65025</v>
      </c>
      <c r="G45" s="99">
        <f>G42-3*(G42-G46)/4</f>
        <v>81.80000000000001</v>
      </c>
      <c r="H45" s="98">
        <f t="shared" si="1"/>
        <v>2455.4749999999995</v>
      </c>
      <c r="I45" s="99">
        <f>I42-3*(I42-I46)/4</f>
        <v>2537.2749999999996</v>
      </c>
      <c r="J45" s="225">
        <f t="shared" si="3"/>
        <v>19.5</v>
      </c>
      <c r="K45" s="19"/>
    </row>
    <row r="46" spans="2:11" ht="12.75">
      <c r="B46" s="111">
        <f t="shared" si="2"/>
        <v>20</v>
      </c>
      <c r="C46" s="44">
        <v>0.023389</v>
      </c>
      <c r="D46" s="96">
        <v>0.0010017</v>
      </c>
      <c r="E46" s="96">
        <f t="shared" si="0"/>
        <v>57.8369983</v>
      </c>
      <c r="F46" s="44">
        <v>57.838</v>
      </c>
      <c r="G46" s="98">
        <v>83.9</v>
      </c>
      <c r="H46" s="98">
        <f t="shared" si="1"/>
        <v>2454.2999999999997</v>
      </c>
      <c r="I46" s="98">
        <v>2538.2</v>
      </c>
      <c r="J46" s="225">
        <f t="shared" si="3"/>
        <v>20</v>
      </c>
      <c r="K46" s="19"/>
    </row>
    <row r="47" spans="2:11" ht="12.75">
      <c r="B47" s="111">
        <f t="shared" si="2"/>
        <v>20.5</v>
      </c>
      <c r="C47" s="44">
        <f>(C46+C48)/2</f>
        <v>0.024133500000000002</v>
      </c>
      <c r="D47" s="97">
        <f>D46+1*(D56-D46)/10</f>
        <v>0.0010018199999999998</v>
      </c>
      <c r="E47" s="96">
        <f t="shared" si="0"/>
        <v>56.393398180000005</v>
      </c>
      <c r="F47" s="43">
        <f>F46+1*(F56-F46)/10</f>
        <v>56.394400000000005</v>
      </c>
      <c r="G47" s="100">
        <f>G46+1*(G56-G46)/10</f>
        <v>85.99000000000001</v>
      </c>
      <c r="H47" s="98">
        <f t="shared" si="1"/>
        <v>2453.12</v>
      </c>
      <c r="I47" s="100">
        <f>I46+1*(I56-I46)/10</f>
        <v>2539.1099999999997</v>
      </c>
      <c r="J47" s="225">
        <f t="shared" si="3"/>
        <v>20.5</v>
      </c>
      <c r="K47" s="19"/>
    </row>
    <row r="48" spans="2:11" ht="12.75">
      <c r="B48" s="111">
        <f t="shared" si="2"/>
        <v>21</v>
      </c>
      <c r="C48" s="44">
        <v>0.024878</v>
      </c>
      <c r="D48" s="97">
        <f>D46+2*(D56-D46)/10</f>
        <v>0.00100194</v>
      </c>
      <c r="E48" s="96">
        <f t="shared" si="0"/>
        <v>54.94979806</v>
      </c>
      <c r="F48" s="43">
        <f>F46+2*(F56-F46)/10</f>
        <v>54.9508</v>
      </c>
      <c r="G48" s="100">
        <f>G46+2*(G56-G46)/10</f>
        <v>88.08</v>
      </c>
      <c r="H48" s="98">
        <f t="shared" si="1"/>
        <v>2451.94</v>
      </c>
      <c r="I48" s="100">
        <f>I46+2*(I56-I46)/10</f>
        <v>2540.02</v>
      </c>
      <c r="J48" s="225">
        <f t="shared" si="3"/>
        <v>21</v>
      </c>
      <c r="K48" s="19"/>
    </row>
    <row r="49" spans="2:11" ht="12.75">
      <c r="B49" s="111">
        <f t="shared" si="2"/>
        <v>21.5</v>
      </c>
      <c r="C49" s="44">
        <f>(C48+C50)/2</f>
        <v>0.025663</v>
      </c>
      <c r="D49" s="97">
        <f>D46+3*(D56-D46)/10</f>
        <v>0.00100206</v>
      </c>
      <c r="E49" s="96">
        <f t="shared" si="0"/>
        <v>53.50619794</v>
      </c>
      <c r="F49" s="43">
        <f>F46+3*(F56-F46)/10</f>
        <v>53.5072</v>
      </c>
      <c r="G49" s="100">
        <f>G46+3*(G56-G46)/10</f>
        <v>90.17</v>
      </c>
      <c r="H49" s="98">
        <f t="shared" si="1"/>
        <v>2450.7599999999998</v>
      </c>
      <c r="I49" s="100">
        <f>I46+3*(I56-I46)/10</f>
        <v>2540.93</v>
      </c>
      <c r="J49" s="225">
        <f t="shared" si="3"/>
        <v>21.5</v>
      </c>
      <c r="K49" s="19"/>
    </row>
    <row r="50" spans="2:11" ht="12.75">
      <c r="B50" s="111">
        <f t="shared" si="2"/>
        <v>22</v>
      </c>
      <c r="C50" s="44">
        <v>0.026448</v>
      </c>
      <c r="D50" s="94">
        <f>D46+4*(D56-D46)/10</f>
        <v>0.0010021799999999999</v>
      </c>
      <c r="E50" s="96">
        <f t="shared" si="0"/>
        <v>52.06259782</v>
      </c>
      <c r="F50" s="43">
        <f>F46+4*(F56-F46)/10</f>
        <v>52.0636</v>
      </c>
      <c r="G50" s="100">
        <f>G46+4*(G56-G46)/10</f>
        <v>92.26</v>
      </c>
      <c r="H50" s="98">
        <f t="shared" si="1"/>
        <v>2449.58</v>
      </c>
      <c r="I50" s="100">
        <f>I46+4*(I56-I46)/10</f>
        <v>2541.84</v>
      </c>
      <c r="J50" s="225">
        <f t="shared" si="3"/>
        <v>22</v>
      </c>
      <c r="K50" s="19"/>
    </row>
    <row r="51" spans="2:11" ht="12.75">
      <c r="B51" s="111">
        <f t="shared" si="2"/>
        <v>22.5</v>
      </c>
      <c r="C51" s="44">
        <f>(C50+C52)/2</f>
        <v>0.027276500000000002</v>
      </c>
      <c r="D51" s="94">
        <f>D46+5*(D56-D46)/10</f>
        <v>0.0010022999999999998</v>
      </c>
      <c r="E51" s="96">
        <f t="shared" si="0"/>
        <v>50.618997699999994</v>
      </c>
      <c r="F51" s="43">
        <f>F46+5*(F56-F46)/10</f>
        <v>50.62</v>
      </c>
      <c r="G51" s="100">
        <f>G46+5*(G56-G46)/10</f>
        <v>94.35</v>
      </c>
      <c r="H51" s="98">
        <f t="shared" si="1"/>
        <v>2448.4</v>
      </c>
      <c r="I51" s="100">
        <f>I46+5*(I56-I46)/10</f>
        <v>2542.75</v>
      </c>
      <c r="J51" s="225">
        <f t="shared" si="3"/>
        <v>22.5</v>
      </c>
      <c r="K51" s="19"/>
    </row>
    <row r="52" spans="2:14" ht="12.75">
      <c r="B52" s="111">
        <f t="shared" si="2"/>
        <v>23</v>
      </c>
      <c r="C52" s="44">
        <v>0.028105</v>
      </c>
      <c r="D52" s="94">
        <f>D46+6*(D56-D46)/10</f>
        <v>0.00100242</v>
      </c>
      <c r="E52" s="96">
        <f t="shared" si="0"/>
        <v>49.17539758</v>
      </c>
      <c r="F52" s="43">
        <f>F46+6*(F56-F46)/10</f>
        <v>49.1764</v>
      </c>
      <c r="G52" s="100">
        <f>G46+6*(G56-G46)/10</f>
        <v>96.44</v>
      </c>
      <c r="H52" s="98">
        <f t="shared" si="1"/>
        <v>2447.22</v>
      </c>
      <c r="I52" s="100">
        <f>I46+6*(I56-I46)/10</f>
        <v>2543.66</v>
      </c>
      <c r="J52" s="225">
        <f t="shared" si="3"/>
        <v>23</v>
      </c>
      <c r="K52" s="19"/>
      <c r="L52" s="35"/>
      <c r="M52" s="35"/>
      <c r="N52" s="35"/>
    </row>
    <row r="53" spans="2:14" ht="12.75">
      <c r="B53" s="111">
        <f t="shared" si="2"/>
        <v>23.5</v>
      </c>
      <c r="C53" s="44">
        <f>(C52+C54)/2</f>
        <v>0.0289785</v>
      </c>
      <c r="D53" s="94">
        <f>D46+7*(D56-D46)/10</f>
        <v>0.00100254</v>
      </c>
      <c r="E53" s="96">
        <f t="shared" si="0"/>
        <v>47.731797459999996</v>
      </c>
      <c r="F53" s="43">
        <f>F46+7*(F56-F46)/10</f>
        <v>47.7328</v>
      </c>
      <c r="G53" s="100">
        <f>G46+7*(G56-G46)/10</f>
        <v>98.53</v>
      </c>
      <c r="H53" s="98">
        <f t="shared" si="1"/>
        <v>2446.04</v>
      </c>
      <c r="I53" s="100">
        <f>I46+7*(I56-I46)/10</f>
        <v>2544.57</v>
      </c>
      <c r="J53" s="225">
        <f t="shared" si="3"/>
        <v>23.5</v>
      </c>
      <c r="K53" s="19"/>
      <c r="L53" s="35"/>
      <c r="M53" s="35"/>
      <c r="N53" s="35"/>
    </row>
    <row r="54" spans="2:14" ht="12.75">
      <c r="B54" s="111">
        <f t="shared" si="2"/>
        <v>24</v>
      </c>
      <c r="C54" s="44">
        <v>0.029852</v>
      </c>
      <c r="D54" s="94">
        <f>D46+8*(D56-D46)/10</f>
        <v>0.0010026599999999998</v>
      </c>
      <c r="E54" s="96">
        <f t="shared" si="0"/>
        <v>46.28819734</v>
      </c>
      <c r="F54" s="43">
        <f>F46+8*(F56-F46)/10</f>
        <v>46.2892</v>
      </c>
      <c r="G54" s="100">
        <f>G46+8*(G56-G46)/10</f>
        <v>100.62</v>
      </c>
      <c r="H54" s="98">
        <f t="shared" si="1"/>
        <v>2444.86</v>
      </c>
      <c r="I54" s="100">
        <f>I46+8*(I56-I46)/10</f>
        <v>2545.48</v>
      </c>
      <c r="J54" s="225">
        <f t="shared" si="3"/>
        <v>24</v>
      </c>
      <c r="K54" s="19"/>
      <c r="L54" s="35"/>
      <c r="M54" s="35"/>
      <c r="N54" s="35"/>
    </row>
    <row r="55" spans="2:14" ht="12.75">
      <c r="B55" s="111">
        <f t="shared" si="2"/>
        <v>24.5</v>
      </c>
      <c r="C55" s="44">
        <f>(C54+C56)/2</f>
        <v>0.0307725</v>
      </c>
      <c r="D55" s="94">
        <f>D46+9*(D56-D46)/10</f>
        <v>0.00100278</v>
      </c>
      <c r="E55" s="96">
        <f t="shared" si="0"/>
        <v>44.844597220000004</v>
      </c>
      <c r="F55" s="43">
        <f>F46+9*(F56-F46)/10</f>
        <v>44.845600000000005</v>
      </c>
      <c r="G55" s="100">
        <f>G46+9*(G56-G46)/10</f>
        <v>102.71</v>
      </c>
      <c r="H55" s="98">
        <f t="shared" si="1"/>
        <v>2443.6800000000003</v>
      </c>
      <c r="I55" s="100">
        <f>I46+9*(I56-I46)/10</f>
        <v>2546.3900000000003</v>
      </c>
      <c r="J55" s="225">
        <f t="shared" si="3"/>
        <v>24.5</v>
      </c>
      <c r="K55" s="19"/>
      <c r="L55" s="35"/>
      <c r="M55" s="35"/>
      <c r="N55" s="35"/>
    </row>
    <row r="56" spans="2:11" ht="12.75">
      <c r="B56" s="111">
        <f t="shared" si="2"/>
        <v>25</v>
      </c>
      <c r="C56" s="44">
        <v>0.031693</v>
      </c>
      <c r="D56" s="93">
        <v>0.0010029</v>
      </c>
      <c r="E56" s="96">
        <f t="shared" si="0"/>
        <v>43.4009971</v>
      </c>
      <c r="F56" s="44">
        <v>43.402</v>
      </c>
      <c r="G56" s="98">
        <v>104.8</v>
      </c>
      <c r="H56" s="98">
        <f t="shared" si="1"/>
        <v>2442.5</v>
      </c>
      <c r="I56" s="98">
        <v>2547.3</v>
      </c>
      <c r="J56" s="225">
        <f t="shared" si="3"/>
        <v>25</v>
      </c>
      <c r="K56" s="19"/>
    </row>
    <row r="57" spans="2:11" ht="12.75">
      <c r="B57" s="111">
        <f t="shared" si="2"/>
        <v>25.5</v>
      </c>
      <c r="C57" s="44">
        <f>(C56+C58)/2</f>
        <v>0.0340115</v>
      </c>
      <c r="D57" s="94">
        <f>D56+1*(D66-D56)/10</f>
        <v>0.00100304</v>
      </c>
      <c r="E57" s="96">
        <f t="shared" si="0"/>
        <v>42.35369696</v>
      </c>
      <c r="F57" s="43">
        <f>F56+1*(F66-F56)/10</f>
        <v>42.3547</v>
      </c>
      <c r="G57" s="100">
        <f>G56+1*(G66-G56)/10</f>
        <v>106.89</v>
      </c>
      <c r="H57" s="98">
        <f t="shared" si="1"/>
        <v>2441.32</v>
      </c>
      <c r="I57" s="100">
        <f>I56+1*(I66-I56)/10</f>
        <v>2548.21</v>
      </c>
      <c r="J57" s="225">
        <f t="shared" si="3"/>
        <v>25.5</v>
      </c>
      <c r="K57" s="19"/>
    </row>
    <row r="58" spans="2:14" ht="12.75">
      <c r="B58" s="111">
        <f t="shared" si="2"/>
        <v>26</v>
      </c>
      <c r="C58" s="44">
        <v>0.03633</v>
      </c>
      <c r="D58" s="94">
        <f>D56+2*(D66-D56)/10</f>
        <v>0.00100318</v>
      </c>
      <c r="E58" s="96">
        <f t="shared" si="0"/>
        <v>41.30639682</v>
      </c>
      <c r="F58" s="43">
        <f>F56+2*(F66-F56)/10</f>
        <v>41.3074</v>
      </c>
      <c r="G58" s="100">
        <f>G56+2*(G66-G56)/10</f>
        <v>108.98</v>
      </c>
      <c r="H58" s="98">
        <f t="shared" si="1"/>
        <v>2440.1400000000003</v>
      </c>
      <c r="I58" s="100">
        <f>I56+2*(I66-I56)/10</f>
        <v>2549.1200000000003</v>
      </c>
      <c r="J58" s="225">
        <f t="shared" si="3"/>
        <v>26</v>
      </c>
      <c r="K58" s="19"/>
      <c r="L58" s="35"/>
      <c r="M58" s="35"/>
      <c r="N58" s="35"/>
    </row>
    <row r="59" spans="2:14" ht="12.75">
      <c r="B59" s="111">
        <f t="shared" si="2"/>
        <v>26.5</v>
      </c>
      <c r="C59" s="44">
        <f>(C58+C60)/2</f>
        <v>0.036002</v>
      </c>
      <c r="D59" s="94">
        <f>D56+3*(D66-D56)/10</f>
        <v>0.00100332</v>
      </c>
      <c r="E59" s="96">
        <f t="shared" si="0"/>
        <v>40.25909668</v>
      </c>
      <c r="F59" s="43">
        <f>F56+3*(F66-F56)/10</f>
        <v>40.2601</v>
      </c>
      <c r="G59" s="100">
        <f>G56+3*(G66-G56)/10</f>
        <v>111.07</v>
      </c>
      <c r="H59" s="98">
        <f t="shared" si="1"/>
        <v>2438.96</v>
      </c>
      <c r="I59" s="100">
        <f>I56+3*(I66-I56)/10</f>
        <v>2550.03</v>
      </c>
      <c r="J59" s="225">
        <f t="shared" si="3"/>
        <v>26.5</v>
      </c>
      <c r="K59" s="19"/>
      <c r="L59" s="35"/>
      <c r="M59" s="35"/>
      <c r="N59" s="35"/>
    </row>
    <row r="60" spans="2:14" ht="12.75">
      <c r="B60" s="111">
        <f t="shared" si="2"/>
        <v>27</v>
      </c>
      <c r="C60" s="44">
        <v>0.035674</v>
      </c>
      <c r="D60" s="94">
        <f>D56+4*(D66-D56)/10</f>
        <v>0.00100346</v>
      </c>
      <c r="E60" s="96">
        <f t="shared" si="0"/>
        <v>39.21179654</v>
      </c>
      <c r="F60" s="43">
        <f>F56+4*(F66-F56)/10</f>
        <v>39.2128</v>
      </c>
      <c r="G60" s="100">
        <f>G56+4*(G66-G56)/10</f>
        <v>113.16</v>
      </c>
      <c r="H60" s="98">
        <f t="shared" si="1"/>
        <v>2437.78</v>
      </c>
      <c r="I60" s="100">
        <f>I56+4*(I66-I56)/10</f>
        <v>2550.94</v>
      </c>
      <c r="J60" s="225">
        <f t="shared" si="3"/>
        <v>27</v>
      </c>
      <c r="K60" s="19"/>
      <c r="L60" s="35"/>
      <c r="M60" s="35"/>
      <c r="N60" s="35"/>
    </row>
    <row r="61" spans="2:14" ht="12.75">
      <c r="B61" s="111">
        <f t="shared" si="2"/>
        <v>27.5</v>
      </c>
      <c r="C61" s="44">
        <f>(C60+C62)/2</f>
        <v>0.0367485</v>
      </c>
      <c r="D61" s="94">
        <f>D56+5*(D66-D56)/10</f>
        <v>0.0010035999999999999</v>
      </c>
      <c r="E61" s="96">
        <f t="shared" si="0"/>
        <v>38.164496400000004</v>
      </c>
      <c r="F61" s="43">
        <f>F56+5*(F66-F56)/10</f>
        <v>38.1655</v>
      </c>
      <c r="G61" s="100">
        <f>G56+5*(G66-G56)/10</f>
        <v>115.25</v>
      </c>
      <c r="H61" s="98">
        <f t="shared" si="1"/>
        <v>2436.6000000000004</v>
      </c>
      <c r="I61" s="100">
        <f>I56+5*(I66-I56)/10</f>
        <v>2551.8500000000004</v>
      </c>
      <c r="J61" s="225">
        <f t="shared" si="3"/>
        <v>27.5</v>
      </c>
      <c r="K61" s="19"/>
      <c r="L61" s="35"/>
      <c r="M61" s="35"/>
      <c r="N61" s="35"/>
    </row>
    <row r="62" spans="2:14" ht="12.75">
      <c r="B62" s="111">
        <f t="shared" si="2"/>
        <v>28</v>
      </c>
      <c r="C62" s="44">
        <v>0.037823</v>
      </c>
      <c r="D62" s="94">
        <f>D56+6*(D66-D56)/10</f>
        <v>0.00100374</v>
      </c>
      <c r="E62" s="96">
        <f t="shared" si="0"/>
        <v>37.11719626</v>
      </c>
      <c r="F62" s="43">
        <f>F56+6*(F66-F56)/10</f>
        <v>37.1182</v>
      </c>
      <c r="G62" s="100">
        <f>G56+6*(G66-G56)/10</f>
        <v>117.34</v>
      </c>
      <c r="H62" s="98">
        <f t="shared" si="1"/>
        <v>2435.42</v>
      </c>
      <c r="I62" s="100">
        <f>I56+6*(I66-I56)/10</f>
        <v>2552.76</v>
      </c>
      <c r="J62" s="225">
        <f t="shared" si="3"/>
        <v>28</v>
      </c>
      <c r="K62" s="19"/>
      <c r="L62" s="28"/>
      <c r="M62" s="28"/>
      <c r="N62" s="30"/>
    </row>
    <row r="63" spans="2:14" ht="12.75">
      <c r="B63" s="111">
        <f t="shared" si="2"/>
        <v>28.5</v>
      </c>
      <c r="C63" s="44">
        <f>(C62+C64)/2</f>
        <v>0.0389535</v>
      </c>
      <c r="D63" s="94">
        <f>D56+7*(D66-D56)/10</f>
        <v>0.00100388</v>
      </c>
      <c r="E63" s="96">
        <f t="shared" si="0"/>
        <v>36.06989612</v>
      </c>
      <c r="F63" s="43">
        <f>F56+7*(F66-F56)/10</f>
        <v>36.0709</v>
      </c>
      <c r="G63" s="100">
        <f>G56+7*(G66-G56)/10</f>
        <v>119.43</v>
      </c>
      <c r="H63" s="98">
        <f t="shared" si="1"/>
        <v>2434.2400000000002</v>
      </c>
      <c r="I63" s="100">
        <f>I56+7*(I66-I56)/10</f>
        <v>2553.67</v>
      </c>
      <c r="J63" s="225">
        <f t="shared" si="3"/>
        <v>28.5</v>
      </c>
      <c r="K63" s="19"/>
      <c r="L63" s="28"/>
      <c r="M63" s="28"/>
      <c r="N63" s="30"/>
    </row>
    <row r="64" spans="2:14" ht="12.75">
      <c r="B64" s="111">
        <f t="shared" si="2"/>
        <v>29</v>
      </c>
      <c r="C64" s="44">
        <v>0.040084</v>
      </c>
      <c r="D64" s="94">
        <f>D56+8*(D66-D56)/10</f>
        <v>0.00100402</v>
      </c>
      <c r="E64" s="96">
        <f t="shared" si="0"/>
        <v>35.02259598</v>
      </c>
      <c r="F64" s="43">
        <f>F56+8*(F66-F56)/10</f>
        <v>35.0236</v>
      </c>
      <c r="G64" s="100">
        <f>G56+8*(G66-G56)/10</f>
        <v>121.52000000000001</v>
      </c>
      <c r="H64" s="98">
        <f t="shared" si="1"/>
        <v>2433.06</v>
      </c>
      <c r="I64" s="100">
        <f>I56+8*(I66-I56)/10</f>
        <v>2554.58</v>
      </c>
      <c r="J64" s="225">
        <f t="shared" si="3"/>
        <v>29</v>
      </c>
      <c r="K64" s="19"/>
      <c r="L64" s="28"/>
      <c r="M64" s="28"/>
      <c r="N64" s="30"/>
    </row>
    <row r="65" spans="2:14" ht="12.75">
      <c r="B65" s="111">
        <f t="shared" si="2"/>
        <v>29.5</v>
      </c>
      <c r="C65" s="44">
        <f>(C64+C66)/2</f>
        <v>0.041273000000000004</v>
      </c>
      <c r="D65" s="94">
        <f>D56+9*(D66-D56)/10</f>
        <v>0.00100416</v>
      </c>
      <c r="E65" s="96">
        <f t="shared" si="0"/>
        <v>33.97529584</v>
      </c>
      <c r="F65" s="43">
        <f>F56+9*(F66-F56)/10</f>
        <v>33.9763</v>
      </c>
      <c r="G65" s="100">
        <f>G56+9*(G66-G56)/10</f>
        <v>123.61</v>
      </c>
      <c r="H65" s="98">
        <f t="shared" si="1"/>
        <v>2431.88</v>
      </c>
      <c r="I65" s="100">
        <f>I56+9*(I66-I56)/10</f>
        <v>2555.4900000000002</v>
      </c>
      <c r="J65" s="225">
        <f t="shared" si="3"/>
        <v>29.5</v>
      </c>
      <c r="K65" s="19"/>
      <c r="L65" s="28"/>
      <c r="M65" s="28"/>
      <c r="N65" s="30"/>
    </row>
    <row r="66" spans="2:11" ht="12.75">
      <c r="B66" s="111">
        <f t="shared" si="2"/>
        <v>30</v>
      </c>
      <c r="C66" s="45">
        <v>0.042462</v>
      </c>
      <c r="D66" s="93">
        <v>0.0010043</v>
      </c>
      <c r="E66" s="96">
        <f t="shared" si="0"/>
        <v>32.927995700000004</v>
      </c>
      <c r="F66" s="44">
        <v>32.929</v>
      </c>
      <c r="G66" s="98">
        <v>125.7</v>
      </c>
      <c r="H66" s="98">
        <f t="shared" si="1"/>
        <v>2430.7000000000003</v>
      </c>
      <c r="I66" s="98">
        <v>2556.4</v>
      </c>
      <c r="J66" s="225">
        <f t="shared" si="3"/>
        <v>30</v>
      </c>
      <c r="K66" s="19"/>
    </row>
    <row r="67" spans="2:11" ht="12.75">
      <c r="B67" s="111">
        <f t="shared" si="2"/>
        <v>30.5</v>
      </c>
      <c r="C67" s="44">
        <f>(C66+C68)/2</f>
        <v>0.0437115</v>
      </c>
      <c r="D67" s="94">
        <f>D66+1*(D76-D66)/10</f>
        <v>0.0010044700000000001</v>
      </c>
      <c r="E67" s="96">
        <f t="shared" si="0"/>
        <v>32.159595530000004</v>
      </c>
      <c r="F67" s="43">
        <f>F66+1*(F76-F66)/10</f>
        <v>32.1606</v>
      </c>
      <c r="G67" s="100">
        <f>G66+1*(G76-G66)/10</f>
        <v>127.79</v>
      </c>
      <c r="H67" s="98">
        <f t="shared" si="1"/>
        <v>2429.51</v>
      </c>
      <c r="I67" s="100">
        <f>I66+1*(I76-I66)/10</f>
        <v>2557.3</v>
      </c>
      <c r="J67" s="225">
        <f t="shared" si="3"/>
        <v>30.5</v>
      </c>
      <c r="K67" s="19"/>
    </row>
    <row r="68" spans="2:14" ht="12.75">
      <c r="B68" s="111">
        <f t="shared" si="2"/>
        <v>31</v>
      </c>
      <c r="C68" s="44">
        <v>0.044961</v>
      </c>
      <c r="D68" s="94">
        <f>D66+2*(D76-D66)/10</f>
        <v>0.00100464</v>
      </c>
      <c r="E68" s="96">
        <f t="shared" si="0"/>
        <v>31.39119536</v>
      </c>
      <c r="F68" s="43">
        <f>F66+2*(F76-F66)/10</f>
        <v>31.392200000000003</v>
      </c>
      <c r="G68" s="100">
        <f>G66+2*(G76-G66)/10</f>
        <v>129.88</v>
      </c>
      <c r="H68" s="98">
        <f t="shared" si="1"/>
        <v>2428.32</v>
      </c>
      <c r="I68" s="100">
        <f>I66+2*(I76-I66)/10</f>
        <v>2558.2000000000003</v>
      </c>
      <c r="J68" s="225">
        <f t="shared" si="3"/>
        <v>31</v>
      </c>
      <c r="K68" s="19"/>
      <c r="L68" s="37"/>
      <c r="M68" s="35"/>
      <c r="N68" s="35"/>
    </row>
    <row r="69" spans="2:14" ht="12.75">
      <c r="B69" s="111">
        <f t="shared" si="2"/>
        <v>31.5</v>
      </c>
      <c r="C69" s="44">
        <f>(C68+C70)/2</f>
        <v>0.0462735</v>
      </c>
      <c r="D69" s="94">
        <f>D66+3*(D76-D66)/10</f>
        <v>0.00100481</v>
      </c>
      <c r="E69" s="96">
        <f t="shared" si="0"/>
        <v>30.62279519</v>
      </c>
      <c r="F69" s="43">
        <f>F66+3*(F76-F66)/10</f>
        <v>30.623800000000003</v>
      </c>
      <c r="G69" s="100">
        <f>G66+3*(G76-G66)/10</f>
        <v>131.97</v>
      </c>
      <c r="H69" s="98">
        <f t="shared" si="1"/>
        <v>2427.13</v>
      </c>
      <c r="I69" s="100">
        <f>I66+3*(I76-I66)/10</f>
        <v>2559.1</v>
      </c>
      <c r="J69" s="225">
        <f t="shared" si="3"/>
        <v>31.5</v>
      </c>
      <c r="K69" s="19"/>
      <c r="L69" s="37"/>
      <c r="M69" s="35"/>
      <c r="N69" s="35"/>
    </row>
    <row r="70" spans="2:14" ht="12.75">
      <c r="B70" s="111">
        <f t="shared" si="2"/>
        <v>32</v>
      </c>
      <c r="C70" s="44">
        <v>0.047586</v>
      </c>
      <c r="D70" s="94">
        <f>D66+4*(D76-D66)/10</f>
        <v>0.00100498</v>
      </c>
      <c r="E70" s="96">
        <f t="shared" si="0"/>
        <v>29.854395020000002</v>
      </c>
      <c r="F70" s="43">
        <f>F66+4*(F76-F66)/10</f>
        <v>29.855400000000003</v>
      </c>
      <c r="G70" s="100">
        <f>G66+4*(G76-G66)/10</f>
        <v>134.06</v>
      </c>
      <c r="H70" s="98">
        <f t="shared" si="1"/>
        <v>2425.94</v>
      </c>
      <c r="I70" s="100">
        <f>I66+4*(I76-I66)/10</f>
        <v>2560</v>
      </c>
      <c r="J70" s="225">
        <f t="shared" si="3"/>
        <v>32</v>
      </c>
      <c r="K70" s="19"/>
      <c r="L70" s="37"/>
      <c r="M70" s="35"/>
      <c r="N70" s="35"/>
    </row>
    <row r="71" spans="2:14" ht="12.75">
      <c r="B71" s="111">
        <f t="shared" si="2"/>
        <v>32.5</v>
      </c>
      <c r="C71" s="44">
        <f>(C70+C72)/2</f>
        <v>0.0489655</v>
      </c>
      <c r="D71" s="94">
        <f>D66+5*(D76-D66)/10</f>
        <v>0.00100515</v>
      </c>
      <c r="E71" s="96">
        <f aca="true" t="shared" si="4" ref="E71:E134">F71-D71</f>
        <v>29.085994850000002</v>
      </c>
      <c r="F71" s="43">
        <f>F66+5*(F76-F66)/10</f>
        <v>29.087000000000003</v>
      </c>
      <c r="G71" s="100">
        <f>G66+5*(G76-G66)/10</f>
        <v>136.15</v>
      </c>
      <c r="H71" s="98">
        <f aca="true" t="shared" si="5" ref="H71:H134">I71-G71</f>
        <v>2424.75</v>
      </c>
      <c r="I71" s="100">
        <f>I66+5*(I76-I66)/10</f>
        <v>2560.9</v>
      </c>
      <c r="J71" s="225">
        <f t="shared" si="3"/>
        <v>32.5</v>
      </c>
      <c r="K71" s="19"/>
      <c r="L71" s="37"/>
      <c r="M71" s="35"/>
      <c r="N71" s="35"/>
    </row>
    <row r="72" spans="2:14" ht="12.75">
      <c r="B72" s="111">
        <f aca="true" t="shared" si="6" ref="B72:B135">B71+0.5</f>
        <v>33</v>
      </c>
      <c r="C72" s="44">
        <v>0.050345</v>
      </c>
      <c r="D72" s="94">
        <f>D66+6*(D76-D66)/10</f>
        <v>0.00100532</v>
      </c>
      <c r="E72" s="96">
        <f t="shared" si="4"/>
        <v>28.317594680000003</v>
      </c>
      <c r="F72" s="43">
        <f>F66+6*(F76-F66)/10</f>
        <v>28.318600000000004</v>
      </c>
      <c r="G72" s="100">
        <f>G66+6*(G76-G66)/10</f>
        <v>138.24</v>
      </c>
      <c r="H72" s="98">
        <f t="shared" si="5"/>
        <v>2423.5600000000004</v>
      </c>
      <c r="I72" s="100">
        <f>I66+6*(I76-I66)/10</f>
        <v>2561.8</v>
      </c>
      <c r="J72" s="225">
        <f aca="true" t="shared" si="7" ref="J72:J135">J71+0.5</f>
        <v>33</v>
      </c>
      <c r="K72" s="19"/>
      <c r="L72" s="38"/>
      <c r="M72" s="35"/>
      <c r="N72" s="35"/>
    </row>
    <row r="73" spans="2:14" ht="12.75">
      <c r="B73" s="111">
        <f t="shared" si="6"/>
        <v>33.5</v>
      </c>
      <c r="C73" s="44">
        <f>(C72+C74)/2</f>
        <v>0.0517935</v>
      </c>
      <c r="D73" s="94">
        <f>D66+7*(D76-D66)/10</f>
        <v>0.00100549</v>
      </c>
      <c r="E73" s="96">
        <f t="shared" si="4"/>
        <v>27.54919451</v>
      </c>
      <c r="F73" s="43">
        <f>F66+7*(F76-F66)/10</f>
        <v>27.5502</v>
      </c>
      <c r="G73" s="100">
        <f>G66+7*(G76-G66)/10</f>
        <v>140.32999999999998</v>
      </c>
      <c r="H73" s="98">
        <f t="shared" si="5"/>
        <v>2422.3700000000003</v>
      </c>
      <c r="I73" s="100">
        <f>I66+7*(I76-I66)/10</f>
        <v>2562.7000000000003</v>
      </c>
      <c r="J73" s="225">
        <f t="shared" si="7"/>
        <v>33.5</v>
      </c>
      <c r="K73" s="19"/>
      <c r="L73" s="38"/>
      <c r="M73" s="35"/>
      <c r="N73" s="35"/>
    </row>
    <row r="74" spans="2:14" ht="12.75">
      <c r="B74" s="111">
        <f t="shared" si="6"/>
        <v>34</v>
      </c>
      <c r="C74" s="44">
        <v>0.053242</v>
      </c>
      <c r="D74" s="94">
        <f>D66+8*(D76-D66)/10</f>
        <v>0.00100566</v>
      </c>
      <c r="E74" s="96">
        <f t="shared" si="4"/>
        <v>26.78079434</v>
      </c>
      <c r="F74" s="43">
        <f>F66+8*(F76-F66)/10</f>
        <v>26.7818</v>
      </c>
      <c r="G74" s="100">
        <f>G66+8*(G76-G66)/10</f>
        <v>142.42</v>
      </c>
      <c r="H74" s="98">
        <f t="shared" si="5"/>
        <v>2421.18</v>
      </c>
      <c r="I74" s="100">
        <f>I66+8*(I76-I66)/10</f>
        <v>2563.6</v>
      </c>
      <c r="J74" s="225">
        <f t="shared" si="7"/>
        <v>34</v>
      </c>
      <c r="K74" s="19"/>
      <c r="L74" s="38"/>
      <c r="M74" s="35"/>
      <c r="N74" s="35"/>
    </row>
    <row r="75" spans="2:14" ht="12.75">
      <c r="B75" s="111">
        <f t="shared" si="6"/>
        <v>34.5</v>
      </c>
      <c r="C75" s="44">
        <f>(C74+C76)/2</f>
        <v>0.054761</v>
      </c>
      <c r="D75" s="94">
        <f>D66+9*(D76-D66)/10</f>
        <v>0.0010058299999999999</v>
      </c>
      <c r="E75" s="96">
        <f t="shared" si="4"/>
        <v>26.01239417</v>
      </c>
      <c r="F75" s="43">
        <f>F66+9*(F76-F66)/10</f>
        <v>26.0134</v>
      </c>
      <c r="G75" s="100">
        <f>G66+9*(G76-G66)/10</f>
        <v>144.51</v>
      </c>
      <c r="H75" s="98">
        <f t="shared" si="5"/>
        <v>2419.99</v>
      </c>
      <c r="I75" s="100">
        <f>I66+9*(I76-I66)/10</f>
        <v>2564.5</v>
      </c>
      <c r="J75" s="225">
        <f t="shared" si="7"/>
        <v>34.5</v>
      </c>
      <c r="K75" s="19"/>
      <c r="L75" s="38"/>
      <c r="M75" s="35"/>
      <c r="N75" s="35"/>
    </row>
    <row r="76" spans="2:11" ht="12.75">
      <c r="B76" s="111">
        <f t="shared" si="6"/>
        <v>35</v>
      </c>
      <c r="C76" s="46">
        <v>0.05628</v>
      </c>
      <c r="D76" s="94">
        <v>0.001006</v>
      </c>
      <c r="E76" s="96">
        <f t="shared" si="4"/>
        <v>25.243994</v>
      </c>
      <c r="F76" s="46">
        <v>25.245</v>
      </c>
      <c r="G76" s="100">
        <v>146.6</v>
      </c>
      <c r="H76" s="98">
        <f t="shared" si="5"/>
        <v>2418.8</v>
      </c>
      <c r="I76" s="100">
        <v>2565.4</v>
      </c>
      <c r="J76" s="225">
        <f t="shared" si="7"/>
        <v>35</v>
      </c>
      <c r="K76" s="19"/>
    </row>
    <row r="77" spans="2:11" ht="12.75">
      <c r="B77" s="111">
        <f t="shared" si="6"/>
        <v>35.5</v>
      </c>
      <c r="C77" s="44">
        <f>(C76+C78)/2</f>
        <v>0.057873999999999995</v>
      </c>
      <c r="D77" s="94">
        <f>D76+1*(D86-D76)/10</f>
        <v>0.00100618</v>
      </c>
      <c r="E77" s="96">
        <f t="shared" si="4"/>
        <v>24.67409382</v>
      </c>
      <c r="F77" s="43">
        <f>F76+1*(F86-F76)/10</f>
        <v>24.6751</v>
      </c>
      <c r="G77" s="100">
        <f>G76+1*(G86-G76)/10</f>
        <v>148.69</v>
      </c>
      <c r="H77" s="98">
        <f t="shared" si="5"/>
        <v>2417.61</v>
      </c>
      <c r="I77" s="100">
        <f>I76+1*(I86-I76)/10</f>
        <v>2566.3</v>
      </c>
      <c r="J77" s="225">
        <f t="shared" si="7"/>
        <v>35.5</v>
      </c>
      <c r="K77" s="19"/>
    </row>
    <row r="78" spans="2:12" ht="12.75">
      <c r="B78" s="111">
        <f t="shared" si="6"/>
        <v>36</v>
      </c>
      <c r="C78" s="46">
        <v>0.059468</v>
      </c>
      <c r="D78" s="94">
        <f>D76+2*(D86-D76)/10</f>
        <v>0.00100636</v>
      </c>
      <c r="E78" s="96">
        <f t="shared" si="4"/>
        <v>24.10419364</v>
      </c>
      <c r="F78" s="43">
        <f>F76+2*(F86-F76)/10</f>
        <v>24.1052</v>
      </c>
      <c r="G78" s="100">
        <f>G76+2*(G86-G76)/10</f>
        <v>150.78</v>
      </c>
      <c r="H78" s="98">
        <f t="shared" si="5"/>
        <v>2416.42</v>
      </c>
      <c r="I78" s="100">
        <f>I76+2*(I86-I76)/10</f>
        <v>2567.2000000000003</v>
      </c>
      <c r="J78" s="225">
        <f t="shared" si="7"/>
        <v>36</v>
      </c>
      <c r="K78" s="19"/>
      <c r="L78" s="35"/>
    </row>
    <row r="79" spans="2:12" ht="12.75">
      <c r="B79" s="111">
        <f t="shared" si="6"/>
        <v>36.5</v>
      </c>
      <c r="C79" s="44">
        <f>(C78+C80)/2</f>
        <v>0.06114</v>
      </c>
      <c r="D79" s="94">
        <f>D76+3*(D86-D76)/10</f>
        <v>0.00100654</v>
      </c>
      <c r="E79" s="96">
        <f t="shared" si="4"/>
        <v>23.53429346</v>
      </c>
      <c r="F79" s="43">
        <f>F76+3*(F86-F76)/10</f>
        <v>23.5353</v>
      </c>
      <c r="G79" s="100">
        <f>G76+3*(G86-G76)/10</f>
        <v>152.87</v>
      </c>
      <c r="H79" s="98">
        <f t="shared" si="5"/>
        <v>2415.23</v>
      </c>
      <c r="I79" s="100">
        <f>I76+3*(I86-I76)/10</f>
        <v>2568.1</v>
      </c>
      <c r="J79" s="225">
        <f t="shared" si="7"/>
        <v>36.5</v>
      </c>
      <c r="K79" s="19"/>
      <c r="L79" s="35"/>
    </row>
    <row r="80" spans="2:12" ht="12.75">
      <c r="B80" s="111">
        <f t="shared" si="6"/>
        <v>37</v>
      </c>
      <c r="C80" s="46">
        <v>0.062812</v>
      </c>
      <c r="D80" s="94">
        <f>D76+4*(D86-D76)/10</f>
        <v>0.00100672</v>
      </c>
      <c r="E80" s="96">
        <f t="shared" si="4"/>
        <v>22.96439328</v>
      </c>
      <c r="F80" s="43">
        <f>F76+4*(F86-F76)/10</f>
        <v>22.9654</v>
      </c>
      <c r="G80" s="100">
        <f>G76+4*(G86-G76)/10</f>
        <v>154.96</v>
      </c>
      <c r="H80" s="98">
        <f t="shared" si="5"/>
        <v>2414.04</v>
      </c>
      <c r="I80" s="100">
        <f>I76+4*(I86-I76)/10</f>
        <v>2569</v>
      </c>
      <c r="J80" s="225">
        <f t="shared" si="7"/>
        <v>37</v>
      </c>
      <c r="K80" s="19"/>
      <c r="L80" s="35"/>
    </row>
    <row r="81" spans="2:12" ht="12.75">
      <c r="B81" s="111">
        <f t="shared" si="6"/>
        <v>37.5</v>
      </c>
      <c r="C81" s="44">
        <f>(C80+C82)/2</f>
        <v>0.06298100000000001</v>
      </c>
      <c r="D81" s="94">
        <f>D76+5*(D86-D76)/10</f>
        <v>0.0010069</v>
      </c>
      <c r="E81" s="96">
        <f t="shared" si="4"/>
        <v>22.3944931</v>
      </c>
      <c r="F81" s="43">
        <f>F76+5*(F86-F76)/10</f>
        <v>22.3955</v>
      </c>
      <c r="G81" s="100">
        <f>G76+5*(G86-G76)/10</f>
        <v>157.05</v>
      </c>
      <c r="H81" s="98">
        <f t="shared" si="5"/>
        <v>2412.85</v>
      </c>
      <c r="I81" s="100">
        <f>I76+5*(I86-I76)/10</f>
        <v>2569.9</v>
      </c>
      <c r="J81" s="225">
        <f t="shared" si="7"/>
        <v>37.5</v>
      </c>
      <c r="K81" s="19"/>
      <c r="L81" s="35"/>
    </row>
    <row r="82" spans="2:11" ht="12.75">
      <c r="B82" s="111">
        <f t="shared" si="6"/>
        <v>38</v>
      </c>
      <c r="C82" s="46">
        <v>0.06315</v>
      </c>
      <c r="D82" s="94">
        <f>D76+6*(D86-D76)/10</f>
        <v>0.00100708</v>
      </c>
      <c r="E82" s="96">
        <f t="shared" si="4"/>
        <v>21.82459292</v>
      </c>
      <c r="F82" s="43">
        <f>F76+6*(F86-F76)/10</f>
        <v>21.8256</v>
      </c>
      <c r="G82" s="100">
        <f>G76+6*(G86-G76)/10</f>
        <v>159.14</v>
      </c>
      <c r="H82" s="98">
        <f t="shared" si="5"/>
        <v>2411.6600000000003</v>
      </c>
      <c r="I82" s="100">
        <f>I76+6*(I86-I76)/10</f>
        <v>2570.8</v>
      </c>
      <c r="J82" s="225">
        <f t="shared" si="7"/>
        <v>38</v>
      </c>
      <c r="K82" s="19"/>
    </row>
    <row r="83" spans="2:11" ht="12.75">
      <c r="B83" s="111">
        <f t="shared" si="6"/>
        <v>38.5</v>
      </c>
      <c r="C83" s="44">
        <f>(C82+C84)/2</f>
        <v>0.06656899999999999</v>
      </c>
      <c r="D83" s="94">
        <f>D76+7*(D86-D76)/10</f>
        <v>0.00100726</v>
      </c>
      <c r="E83" s="96">
        <f t="shared" si="4"/>
        <v>21.25469274</v>
      </c>
      <c r="F83" s="43">
        <f>F76+7*(F86-F76)/10</f>
        <v>21.2557</v>
      </c>
      <c r="G83" s="100">
        <f>G76+7*(G86-G76)/10</f>
        <v>161.23</v>
      </c>
      <c r="H83" s="98">
        <f t="shared" si="5"/>
        <v>2410.4700000000003</v>
      </c>
      <c r="I83" s="100">
        <f>I76+7*(I86-I76)/10</f>
        <v>2571.7000000000003</v>
      </c>
      <c r="J83" s="225">
        <f t="shared" si="7"/>
        <v>38.5</v>
      </c>
      <c r="K83" s="19"/>
    </row>
    <row r="84" spans="2:11" ht="12.75">
      <c r="B84" s="111">
        <f t="shared" si="6"/>
        <v>39</v>
      </c>
      <c r="C84" s="46">
        <v>0.069988</v>
      </c>
      <c r="D84" s="94">
        <f>D76+8*(D86-D76)/10</f>
        <v>0.00100744</v>
      </c>
      <c r="E84" s="96">
        <f t="shared" si="4"/>
        <v>20.68479256</v>
      </c>
      <c r="F84" s="43">
        <f>F76+8*(F86-F76)/10</f>
        <v>20.6858</v>
      </c>
      <c r="G84" s="100">
        <f>G76+8*(G86-G76)/10</f>
        <v>163.32</v>
      </c>
      <c r="H84" s="98">
        <f t="shared" si="5"/>
        <v>2409.2799999999997</v>
      </c>
      <c r="I84" s="100">
        <f>I76+8*(I86-I76)/10</f>
        <v>2572.6</v>
      </c>
      <c r="J84" s="225">
        <f t="shared" si="7"/>
        <v>39</v>
      </c>
      <c r="K84" s="19"/>
    </row>
    <row r="85" spans="2:11" ht="12.75">
      <c r="B85" s="111">
        <f t="shared" si="6"/>
        <v>39.5</v>
      </c>
      <c r="C85" s="44">
        <f>(C84+C86)/2</f>
        <v>0.071913</v>
      </c>
      <c r="D85" s="94">
        <f>D76+9*(D86-D76)/10</f>
        <v>0.00100762</v>
      </c>
      <c r="E85" s="96">
        <f t="shared" si="4"/>
        <v>20.11489238</v>
      </c>
      <c r="F85" s="43">
        <f>F76+9*(F86-F76)/10</f>
        <v>20.1159</v>
      </c>
      <c r="G85" s="100">
        <f>G76+9*(G86-G76)/10</f>
        <v>165.41</v>
      </c>
      <c r="H85" s="98">
        <f t="shared" si="5"/>
        <v>2408.09</v>
      </c>
      <c r="I85" s="100">
        <f>I76+9*(I86-I76)/10</f>
        <v>2573.5</v>
      </c>
      <c r="J85" s="225">
        <f t="shared" si="7"/>
        <v>39.5</v>
      </c>
      <c r="K85" s="19"/>
    </row>
    <row r="86" spans="2:11" ht="12.75">
      <c r="B86" s="111">
        <f t="shared" si="6"/>
        <v>40</v>
      </c>
      <c r="C86" s="46">
        <v>0.073838</v>
      </c>
      <c r="D86" s="94">
        <v>0.0010078</v>
      </c>
      <c r="E86" s="96">
        <f t="shared" si="4"/>
        <v>19.5449922</v>
      </c>
      <c r="F86" s="46">
        <v>19.546</v>
      </c>
      <c r="G86" s="101">
        <v>167.5</v>
      </c>
      <c r="H86" s="98">
        <f t="shared" si="5"/>
        <v>2406.9</v>
      </c>
      <c r="I86" s="100">
        <v>2574.4</v>
      </c>
      <c r="J86" s="225">
        <f t="shared" si="7"/>
        <v>40</v>
      </c>
      <c r="K86" s="19"/>
    </row>
    <row r="87" spans="2:11" ht="12.75">
      <c r="B87" s="111">
        <f t="shared" si="6"/>
        <v>40.5</v>
      </c>
      <c r="C87" s="44">
        <f>(C86+C88)/2</f>
        <v>0.075852</v>
      </c>
      <c r="D87" s="94">
        <f>D86+1*(D96-D86)/10</f>
        <v>0.0010080100000000002</v>
      </c>
      <c r="E87" s="96">
        <f t="shared" si="4"/>
        <v>19.11799199</v>
      </c>
      <c r="F87" s="43">
        <f>F86+1*(F96-F86)/10</f>
        <v>19.119</v>
      </c>
      <c r="G87" s="100">
        <f>G86+1*(G96-G86)/10</f>
        <v>169.59</v>
      </c>
      <c r="H87" s="98">
        <f t="shared" si="5"/>
        <v>2405.7</v>
      </c>
      <c r="I87" s="100">
        <f>I86+1*(I96-I86)/10</f>
        <v>2575.29</v>
      </c>
      <c r="J87" s="225">
        <f t="shared" si="7"/>
        <v>40.5</v>
      </c>
      <c r="K87" s="19"/>
    </row>
    <row r="88" spans="2:11" ht="12.75">
      <c r="B88" s="111">
        <f t="shared" si="6"/>
        <v>41</v>
      </c>
      <c r="C88" s="46">
        <v>0.077866</v>
      </c>
      <c r="D88" s="94">
        <f>D86+2*(D96-D86)/10</f>
        <v>0.00100822</v>
      </c>
      <c r="E88" s="96">
        <f t="shared" si="4"/>
        <v>18.69099178</v>
      </c>
      <c r="F88" s="43">
        <f>F86+2*(F96-F86)/10</f>
        <v>18.692</v>
      </c>
      <c r="G88" s="100">
        <f>G86+2*(G96-G86)/10</f>
        <v>171.68</v>
      </c>
      <c r="H88" s="98">
        <f t="shared" si="5"/>
        <v>2404.5000000000005</v>
      </c>
      <c r="I88" s="100">
        <f>I86+2*(I96-I86)/10</f>
        <v>2576.1800000000003</v>
      </c>
      <c r="J88" s="225">
        <f t="shared" si="7"/>
        <v>41</v>
      </c>
      <c r="K88" s="19"/>
    </row>
    <row r="89" spans="2:11" ht="12.75">
      <c r="B89" s="111">
        <f t="shared" si="6"/>
        <v>41.5</v>
      </c>
      <c r="C89" s="44">
        <f>(C88+C90)/2</f>
        <v>0.0799735</v>
      </c>
      <c r="D89" s="94">
        <f>D86+3*(D96-D86)/10</f>
        <v>0.00100843</v>
      </c>
      <c r="E89" s="96">
        <f t="shared" si="4"/>
        <v>18.26399157</v>
      </c>
      <c r="F89" s="43">
        <f>F86+3*(F96-F86)/10</f>
        <v>18.265</v>
      </c>
      <c r="G89" s="100">
        <f>G86+3*(G96-G86)/10</f>
        <v>173.77</v>
      </c>
      <c r="H89" s="98">
        <f t="shared" si="5"/>
        <v>2403.3</v>
      </c>
      <c r="I89" s="100">
        <f>I86+3*(I96-I86)/10</f>
        <v>2577.07</v>
      </c>
      <c r="J89" s="225">
        <f t="shared" si="7"/>
        <v>41.5</v>
      </c>
      <c r="K89" s="19"/>
    </row>
    <row r="90" spans="2:13" ht="12.75">
      <c r="B90" s="111">
        <f t="shared" si="6"/>
        <v>42</v>
      </c>
      <c r="C90" s="46">
        <v>0.082081</v>
      </c>
      <c r="D90" s="94">
        <f>D86+4*(D96-D86)/10</f>
        <v>0.00100864</v>
      </c>
      <c r="E90" s="96">
        <f t="shared" si="4"/>
        <v>17.836991360000003</v>
      </c>
      <c r="F90" s="43">
        <f>F86+4*(F96-F86)/10</f>
        <v>17.838</v>
      </c>
      <c r="G90" s="100">
        <f>G86+4*(G96-G86)/10</f>
        <v>175.86</v>
      </c>
      <c r="H90" s="98">
        <f t="shared" si="5"/>
        <v>2402.1</v>
      </c>
      <c r="I90" s="100">
        <f>I86+4*(I96-I86)/10</f>
        <v>2577.96</v>
      </c>
      <c r="J90" s="225">
        <f t="shared" si="7"/>
        <v>42</v>
      </c>
      <c r="K90" s="19"/>
      <c r="L90" s="35"/>
      <c r="M90" s="36"/>
    </row>
    <row r="91" spans="2:13" ht="12.75">
      <c r="B91" s="111">
        <f t="shared" si="6"/>
        <v>42.5</v>
      </c>
      <c r="C91" s="44">
        <f>(C90+C92)/2</f>
        <v>0.084288</v>
      </c>
      <c r="D91" s="94">
        <f>D86+5*(D96-D86)/10</f>
        <v>0.00100885</v>
      </c>
      <c r="E91" s="96">
        <f t="shared" si="4"/>
        <v>17.40999115</v>
      </c>
      <c r="F91" s="43">
        <f>F86+5*(F96-F86)/10</f>
        <v>17.411</v>
      </c>
      <c r="G91" s="100">
        <f>G86+5*(G96-G86)/10</f>
        <v>177.95</v>
      </c>
      <c r="H91" s="98">
        <f t="shared" si="5"/>
        <v>2400.9000000000005</v>
      </c>
      <c r="I91" s="100">
        <f>I86+5*(I96-I86)/10</f>
        <v>2578.8500000000004</v>
      </c>
      <c r="J91" s="225">
        <f t="shared" si="7"/>
        <v>42.5</v>
      </c>
      <c r="K91" s="19"/>
      <c r="L91" s="35"/>
      <c r="M91" s="36"/>
    </row>
    <row r="92" spans="2:13" ht="12.75">
      <c r="B92" s="111">
        <f t="shared" si="6"/>
        <v>43</v>
      </c>
      <c r="C92" s="46">
        <v>0.086495</v>
      </c>
      <c r="D92" s="94">
        <f>D86+6*(D96-D86)/10</f>
        <v>0.00100906</v>
      </c>
      <c r="E92" s="96">
        <f t="shared" si="4"/>
        <v>16.982990939999997</v>
      </c>
      <c r="F92" s="43">
        <f>F86+6*(F96-F86)/10</f>
        <v>16.983999999999998</v>
      </c>
      <c r="G92" s="100">
        <f>G86+6*(G96-G86)/10</f>
        <v>180.04</v>
      </c>
      <c r="H92" s="98">
        <f t="shared" si="5"/>
        <v>2399.7000000000003</v>
      </c>
      <c r="I92" s="100">
        <f>I86+6*(I96-I86)/10</f>
        <v>2579.7400000000002</v>
      </c>
      <c r="J92" s="225">
        <f t="shared" si="7"/>
        <v>43</v>
      </c>
      <c r="K92" s="19"/>
      <c r="L92" s="35"/>
      <c r="M92" s="36"/>
    </row>
    <row r="93" spans="2:13" ht="12.75">
      <c r="B93" s="111">
        <f t="shared" si="6"/>
        <v>43.5</v>
      </c>
      <c r="C93" s="44">
        <f>(C92+C94)/2</f>
        <v>0.0888025</v>
      </c>
      <c r="D93" s="94">
        <f>D86+7*(D96-D86)/10</f>
        <v>0.00100927</v>
      </c>
      <c r="E93" s="96">
        <f t="shared" si="4"/>
        <v>16.555990729999998</v>
      </c>
      <c r="F93" s="43">
        <f>F86+7*(F96-F86)/10</f>
        <v>16.557</v>
      </c>
      <c r="G93" s="100">
        <f>G86+7*(G96-G86)/10</f>
        <v>182.13</v>
      </c>
      <c r="H93" s="98">
        <f t="shared" si="5"/>
        <v>2398.5</v>
      </c>
      <c r="I93" s="100">
        <f>I86+7*(I96-I86)/10</f>
        <v>2580.63</v>
      </c>
      <c r="J93" s="225">
        <f t="shared" si="7"/>
        <v>43.5</v>
      </c>
      <c r="K93" s="19"/>
      <c r="L93" s="35"/>
      <c r="M93" s="36"/>
    </row>
    <row r="94" spans="2:11" ht="12.75">
      <c r="B94" s="111">
        <f t="shared" si="6"/>
        <v>44</v>
      </c>
      <c r="C94" s="46">
        <v>0.09111</v>
      </c>
      <c r="D94" s="94">
        <f>D86+8*(D96-D86)/10</f>
        <v>0.00100948</v>
      </c>
      <c r="E94" s="96">
        <f t="shared" si="4"/>
        <v>16.12899052</v>
      </c>
      <c r="F94" s="43">
        <f>F86+8*(F96-F86)/10</f>
        <v>16.13</v>
      </c>
      <c r="G94" s="100">
        <f>G86+8*(G96-G86)/10</f>
        <v>184.22</v>
      </c>
      <c r="H94" s="98">
        <f t="shared" si="5"/>
        <v>2397.3</v>
      </c>
      <c r="I94" s="100">
        <f>I86+8*(I96-I86)/10</f>
        <v>2581.52</v>
      </c>
      <c r="J94" s="225">
        <f t="shared" si="7"/>
        <v>44</v>
      </c>
      <c r="K94" s="19"/>
    </row>
    <row r="95" spans="2:11" ht="12.75">
      <c r="B95" s="111">
        <f t="shared" si="6"/>
        <v>44.5</v>
      </c>
      <c r="C95" s="44">
        <f>(C94+C96)/2</f>
        <v>0.09352250000000001</v>
      </c>
      <c r="D95" s="94">
        <f>D86+9*(D96-D86)/10</f>
        <v>0.00100969</v>
      </c>
      <c r="E95" s="96">
        <f t="shared" si="4"/>
        <v>15.70199031</v>
      </c>
      <c r="F95" s="43">
        <f>F86+9*(F96-F86)/10</f>
        <v>15.703</v>
      </c>
      <c r="G95" s="100">
        <f>G86+9*(G96-G86)/10</f>
        <v>186.31</v>
      </c>
      <c r="H95" s="98">
        <f t="shared" si="5"/>
        <v>2396.1000000000004</v>
      </c>
      <c r="I95" s="100">
        <f>I86+9*(I96-I86)/10</f>
        <v>2582.4100000000003</v>
      </c>
      <c r="J95" s="225">
        <f t="shared" si="7"/>
        <v>44.5</v>
      </c>
      <c r="K95" s="19"/>
    </row>
    <row r="96" spans="2:11" ht="12.75">
      <c r="B96" s="111">
        <f t="shared" si="6"/>
        <v>45</v>
      </c>
      <c r="C96" s="46">
        <v>0.095935</v>
      </c>
      <c r="D96" s="94">
        <v>0.0010099</v>
      </c>
      <c r="E96" s="96">
        <f t="shared" si="4"/>
        <v>15.2749901</v>
      </c>
      <c r="F96" s="46">
        <v>15.276</v>
      </c>
      <c r="G96" s="100">
        <v>188.4</v>
      </c>
      <c r="H96" s="98">
        <f t="shared" si="5"/>
        <v>2394.9</v>
      </c>
      <c r="I96" s="100">
        <v>2583.3</v>
      </c>
      <c r="J96" s="225">
        <f t="shared" si="7"/>
        <v>45</v>
      </c>
      <c r="K96" s="19"/>
    </row>
    <row r="97" spans="2:11" ht="12.75">
      <c r="B97" s="111">
        <f t="shared" si="6"/>
        <v>45.5</v>
      </c>
      <c r="C97" s="44">
        <f>(C96+C98)/2</f>
        <v>0.0984585</v>
      </c>
      <c r="D97" s="94">
        <f>D96+1*(D106-D96)/10</f>
        <v>0.00101011</v>
      </c>
      <c r="E97" s="96">
        <f t="shared" si="4"/>
        <v>14.95198989</v>
      </c>
      <c r="F97" s="43">
        <f>F96+1*(F106-F96)/10</f>
        <v>14.953</v>
      </c>
      <c r="G97" s="100">
        <f>G96+1*(G106-G96)/10</f>
        <v>190.49</v>
      </c>
      <c r="H97" s="98">
        <f t="shared" si="5"/>
        <v>2393.7</v>
      </c>
      <c r="I97" s="100">
        <f>I96+1*(I106-I96)/10</f>
        <v>2584.19</v>
      </c>
      <c r="J97" s="225">
        <f t="shared" si="7"/>
        <v>45.5</v>
      </c>
      <c r="K97" s="19"/>
    </row>
    <row r="98" spans="2:11" ht="12.75">
      <c r="B98" s="111">
        <f t="shared" si="6"/>
        <v>46</v>
      </c>
      <c r="C98" s="46">
        <v>0.100982</v>
      </c>
      <c r="D98" s="94">
        <f>D96+2*(D106-D96)/10</f>
        <v>0.00101032</v>
      </c>
      <c r="E98" s="96">
        <f t="shared" si="4"/>
        <v>14.628989679999998</v>
      </c>
      <c r="F98" s="43">
        <f>F96+2*(F106-F96)/10</f>
        <v>14.629999999999999</v>
      </c>
      <c r="G98" s="100">
        <f>G96+2*(G106-G96)/10</f>
        <v>192.58</v>
      </c>
      <c r="H98" s="98">
        <f t="shared" si="5"/>
        <v>2392.5</v>
      </c>
      <c r="I98" s="100">
        <f>I96+2*(I106-I96)/10</f>
        <v>2585.08</v>
      </c>
      <c r="J98" s="225">
        <f t="shared" si="7"/>
        <v>46</v>
      </c>
      <c r="K98" s="19"/>
    </row>
    <row r="99" spans="2:11" ht="12.75">
      <c r="B99" s="111">
        <f t="shared" si="6"/>
        <v>46.5</v>
      </c>
      <c r="C99" s="44">
        <f>(C98+C100)/2</f>
        <v>0.103616</v>
      </c>
      <c r="D99" s="94">
        <f>D96+3*(D106-D96)/10</f>
        <v>0.00101053</v>
      </c>
      <c r="E99" s="96">
        <f t="shared" si="4"/>
        <v>14.30598947</v>
      </c>
      <c r="F99" s="43">
        <f>F96+3*(F106-F96)/10</f>
        <v>14.307</v>
      </c>
      <c r="G99" s="100">
        <f>G96+3*(G106-G96)/10</f>
        <v>194.67000000000002</v>
      </c>
      <c r="H99" s="98">
        <f t="shared" si="5"/>
        <v>2391.3</v>
      </c>
      <c r="I99" s="100">
        <f>I96+3*(I106-I96)/10</f>
        <v>2585.9700000000003</v>
      </c>
      <c r="J99" s="225">
        <f t="shared" si="7"/>
        <v>46.5</v>
      </c>
      <c r="K99" s="19"/>
    </row>
    <row r="100" spans="2:11" ht="12.75">
      <c r="B100" s="111">
        <f t="shared" si="6"/>
        <v>47</v>
      </c>
      <c r="C100" s="46">
        <v>0.10625</v>
      </c>
      <c r="D100" s="94">
        <f>D96+4*(D106-D96)/10</f>
        <v>0.00101074</v>
      </c>
      <c r="E100" s="96">
        <f t="shared" si="4"/>
        <v>13.98298926</v>
      </c>
      <c r="F100" s="43">
        <f>F96+4*(F106-F96)/10</f>
        <v>13.984</v>
      </c>
      <c r="G100" s="100">
        <f>G96+4*(G106-G96)/10</f>
        <v>196.76000000000002</v>
      </c>
      <c r="H100" s="98">
        <f t="shared" si="5"/>
        <v>2390.1</v>
      </c>
      <c r="I100" s="100">
        <f>I96+4*(I106-I96)/10</f>
        <v>2586.86</v>
      </c>
      <c r="J100" s="225">
        <f t="shared" si="7"/>
        <v>47</v>
      </c>
      <c r="K100" s="19"/>
    </row>
    <row r="101" spans="2:11" ht="12.75">
      <c r="B101" s="111">
        <f t="shared" si="6"/>
        <v>47.5</v>
      </c>
      <c r="C101" s="44">
        <f>(C100+C102)/2</f>
        <v>0.109002</v>
      </c>
      <c r="D101" s="94">
        <f>D96+5*(D106-D96)/10</f>
        <v>0.00101095</v>
      </c>
      <c r="E101" s="96">
        <f t="shared" si="4"/>
        <v>13.65998905</v>
      </c>
      <c r="F101" s="43">
        <f>F96+5*(F106-F96)/10</f>
        <v>13.661</v>
      </c>
      <c r="G101" s="100">
        <f>G96+5*(G106-G96)/10</f>
        <v>198.85000000000002</v>
      </c>
      <c r="H101" s="98">
        <f t="shared" si="5"/>
        <v>2388.9</v>
      </c>
      <c r="I101" s="100">
        <f>I96+5*(I106-I96)/10</f>
        <v>2587.75</v>
      </c>
      <c r="J101" s="225">
        <f t="shared" si="7"/>
        <v>47.5</v>
      </c>
      <c r="K101" s="19"/>
    </row>
    <row r="102" spans="2:11" ht="12.75">
      <c r="B102" s="111">
        <f t="shared" si="6"/>
        <v>48</v>
      </c>
      <c r="C102" s="46">
        <v>0.111754</v>
      </c>
      <c r="D102" s="94">
        <f>D96+6*(D106-D96)/10</f>
        <v>0.00101116</v>
      </c>
      <c r="E102" s="96">
        <f t="shared" si="4"/>
        <v>13.33698884</v>
      </c>
      <c r="F102" s="43">
        <f>F96+6*(F106-F96)/10</f>
        <v>13.338</v>
      </c>
      <c r="G102" s="100">
        <f>G96+6*(G106-G96)/10</f>
        <v>200.94</v>
      </c>
      <c r="H102" s="98">
        <f t="shared" si="5"/>
        <v>2387.7</v>
      </c>
      <c r="I102" s="100">
        <f>I96+6*(I106-I96)/10</f>
        <v>2588.64</v>
      </c>
      <c r="J102" s="225">
        <f t="shared" si="7"/>
        <v>48</v>
      </c>
      <c r="K102" s="19"/>
    </row>
    <row r="103" spans="2:11" ht="12.75">
      <c r="B103" s="111">
        <f t="shared" si="6"/>
        <v>48.5</v>
      </c>
      <c r="C103" s="44">
        <f>(C102+C104)/2</f>
        <v>0.11462800000000001</v>
      </c>
      <c r="D103" s="94">
        <f>D96+7*(D106-D96)/10</f>
        <v>0.0010113700000000002</v>
      </c>
      <c r="E103" s="96">
        <f t="shared" si="4"/>
        <v>13.01398863</v>
      </c>
      <c r="F103" s="43">
        <f>F96+7*(F106-F96)/10</f>
        <v>13.015</v>
      </c>
      <c r="G103" s="100">
        <f>G96+7*(G106-G96)/10</f>
        <v>203.03</v>
      </c>
      <c r="H103" s="98">
        <f t="shared" si="5"/>
        <v>2386.4999999999995</v>
      </c>
      <c r="I103" s="100">
        <f>I96+7*(I106-I96)/10</f>
        <v>2589.5299999999997</v>
      </c>
      <c r="J103" s="225">
        <f t="shared" si="7"/>
        <v>48.5</v>
      </c>
      <c r="K103" s="19"/>
    </row>
    <row r="104" spans="2:11" ht="12.75">
      <c r="B104" s="111">
        <f t="shared" si="6"/>
        <v>49</v>
      </c>
      <c r="C104" s="46">
        <v>0.117502</v>
      </c>
      <c r="D104" s="94">
        <f>D96+8*(D106-D96)/10</f>
        <v>0.00101158</v>
      </c>
      <c r="E104" s="96">
        <f t="shared" si="4"/>
        <v>12.69098842</v>
      </c>
      <c r="F104" s="43">
        <f>F96+8*(F106-F96)/10</f>
        <v>12.692</v>
      </c>
      <c r="G104" s="100">
        <f>G96+8*(G106-G96)/10</f>
        <v>205.12</v>
      </c>
      <c r="H104" s="98">
        <f t="shared" si="5"/>
        <v>2385.3</v>
      </c>
      <c r="I104" s="100">
        <f>I96+8*(I106-I96)/10</f>
        <v>2590.42</v>
      </c>
      <c r="J104" s="225">
        <f t="shared" si="7"/>
        <v>49</v>
      </c>
      <c r="K104" s="19"/>
    </row>
    <row r="105" spans="2:11" ht="12.75">
      <c r="B105" s="111">
        <f t="shared" si="6"/>
        <v>49.5</v>
      </c>
      <c r="C105" s="44">
        <f>(C104+C106)/2</f>
        <v>0.1205025</v>
      </c>
      <c r="D105" s="94">
        <f>D96+9*(D106-D96)/10</f>
        <v>0.00101179</v>
      </c>
      <c r="E105" s="96">
        <f t="shared" si="4"/>
        <v>12.36798821</v>
      </c>
      <c r="F105" s="43">
        <f>F96+9*(F106-F96)/10</f>
        <v>12.369</v>
      </c>
      <c r="G105" s="100">
        <f>G96+9*(G106-G96)/10</f>
        <v>207.21</v>
      </c>
      <c r="H105" s="98">
        <f t="shared" si="5"/>
        <v>2384.1</v>
      </c>
      <c r="I105" s="100">
        <f>I96+9*(I106-I96)/10</f>
        <v>2591.31</v>
      </c>
      <c r="J105" s="225">
        <f t="shared" si="7"/>
        <v>49.5</v>
      </c>
      <c r="K105" s="19"/>
    </row>
    <row r="106" spans="2:11" ht="12.75">
      <c r="B106" s="111">
        <f t="shared" si="6"/>
        <v>50</v>
      </c>
      <c r="C106" s="46">
        <v>0.123503</v>
      </c>
      <c r="D106" s="94">
        <v>0.001012</v>
      </c>
      <c r="E106" s="96">
        <f t="shared" si="4"/>
        <v>12.044988</v>
      </c>
      <c r="F106" s="46">
        <v>12.046</v>
      </c>
      <c r="G106" s="100">
        <v>209.3</v>
      </c>
      <c r="H106" s="98">
        <f t="shared" si="5"/>
        <v>2382.8999999999996</v>
      </c>
      <c r="I106" s="100">
        <v>2592.2</v>
      </c>
      <c r="J106" s="225">
        <f t="shared" si="7"/>
        <v>50</v>
      </c>
      <c r="K106" s="19"/>
    </row>
    <row r="107" spans="2:11" ht="12.75">
      <c r="B107" s="111">
        <f t="shared" si="6"/>
        <v>50.5</v>
      </c>
      <c r="C107" s="44">
        <f>(C106+C108)/2</f>
        <v>0.1266335</v>
      </c>
      <c r="D107" s="94">
        <f>D106+1*(D116-D106)/10</f>
        <v>0.0010122500000000001</v>
      </c>
      <c r="E107" s="96">
        <f t="shared" si="4"/>
        <v>11.798177749999999</v>
      </c>
      <c r="F107" s="43">
        <f>F106+1*(F116-F106)/10</f>
        <v>11.79919</v>
      </c>
      <c r="G107" s="100">
        <f>G106+1*(G116-G106)/10</f>
        <v>211.39000000000001</v>
      </c>
      <c r="H107" s="98">
        <f t="shared" si="5"/>
        <v>2381.69</v>
      </c>
      <c r="I107" s="100">
        <f>I106+1*(I116-I106)/10</f>
        <v>2593.08</v>
      </c>
      <c r="J107" s="225">
        <f t="shared" si="7"/>
        <v>50.5</v>
      </c>
      <c r="K107" s="19"/>
    </row>
    <row r="108" spans="2:11" ht="12.75">
      <c r="B108" s="111">
        <f t="shared" si="6"/>
        <v>51</v>
      </c>
      <c r="C108" s="46">
        <v>0.129764</v>
      </c>
      <c r="D108" s="94">
        <f>D106+2*(D116-D106)/10</f>
        <v>0.0010125000000000002</v>
      </c>
      <c r="E108" s="96">
        <f t="shared" si="4"/>
        <v>11.5513675</v>
      </c>
      <c r="F108" s="43">
        <f>F106+2*(F116-F106)/10</f>
        <v>11.55238</v>
      </c>
      <c r="G108" s="100">
        <f>G106+2*(G116-G106)/10</f>
        <v>213.48000000000002</v>
      </c>
      <c r="H108" s="98">
        <f t="shared" si="5"/>
        <v>2380.48</v>
      </c>
      <c r="I108" s="100">
        <f>I106+2*(I116-I106)/10</f>
        <v>2593.96</v>
      </c>
      <c r="J108" s="225">
        <f t="shared" si="7"/>
        <v>51</v>
      </c>
      <c r="K108" s="19"/>
    </row>
    <row r="109" spans="2:11" ht="12.75">
      <c r="B109" s="111">
        <f t="shared" si="6"/>
        <v>51.5</v>
      </c>
      <c r="C109" s="44">
        <f>(C108+C110)/2</f>
        <v>0.1330285</v>
      </c>
      <c r="D109" s="94">
        <f>D106+3*(D116-D106)/10</f>
        <v>0.00101275</v>
      </c>
      <c r="E109" s="96">
        <f t="shared" si="4"/>
        <v>11.30455725</v>
      </c>
      <c r="F109" s="43">
        <f>F106+3*(F116-F106)/10</f>
        <v>11.30557</v>
      </c>
      <c r="G109" s="100">
        <f>G106+3*(G116-G106)/10</f>
        <v>215.57</v>
      </c>
      <c r="H109" s="98">
        <f t="shared" si="5"/>
        <v>2379.2699999999995</v>
      </c>
      <c r="I109" s="100">
        <f>I106+3*(I116-I106)/10</f>
        <v>2594.8399999999997</v>
      </c>
      <c r="J109" s="225">
        <f t="shared" si="7"/>
        <v>51.5</v>
      </c>
      <c r="K109" s="19"/>
    </row>
    <row r="110" spans="2:11" ht="12.75">
      <c r="B110" s="111">
        <f t="shared" si="6"/>
        <v>52</v>
      </c>
      <c r="C110" s="46">
        <v>0.136293</v>
      </c>
      <c r="D110" s="94">
        <f>D106+4*(D116-D106)/10</f>
        <v>0.001013</v>
      </c>
      <c r="E110" s="96">
        <f t="shared" si="4"/>
        <v>11.057746999999999</v>
      </c>
      <c r="F110" s="43">
        <f>F106+4*(F116-F106)/10</f>
        <v>11.05876</v>
      </c>
      <c r="G110" s="100">
        <f>G106+4*(G116-G106)/10</f>
        <v>217.66</v>
      </c>
      <c r="H110" s="98">
        <f t="shared" si="5"/>
        <v>2378.06</v>
      </c>
      <c r="I110" s="100">
        <f>I106+4*(I116-I106)/10</f>
        <v>2595.72</v>
      </c>
      <c r="J110" s="225">
        <f t="shared" si="7"/>
        <v>52</v>
      </c>
      <c r="K110" s="19"/>
    </row>
    <row r="111" spans="2:11" ht="12.75">
      <c r="B111" s="111">
        <f t="shared" si="6"/>
        <v>52.5</v>
      </c>
      <c r="C111" s="44">
        <f>(C110+C112)/2</f>
        <v>0.1397005</v>
      </c>
      <c r="D111" s="94">
        <f>D106+5*(D116-D106)/10</f>
        <v>0.00101325</v>
      </c>
      <c r="E111" s="96">
        <f t="shared" si="4"/>
        <v>10.81093675</v>
      </c>
      <c r="F111" s="43">
        <f>F106+5*(F116-F106)/10</f>
        <v>10.81195</v>
      </c>
      <c r="G111" s="100">
        <f>G106+5*(G116-G106)/10</f>
        <v>219.75</v>
      </c>
      <c r="H111" s="98">
        <f t="shared" si="5"/>
        <v>2376.85</v>
      </c>
      <c r="I111" s="100">
        <f>I106+5*(I116-I106)/10</f>
        <v>2596.6</v>
      </c>
      <c r="J111" s="225">
        <f t="shared" si="7"/>
        <v>52.5</v>
      </c>
      <c r="K111" s="19"/>
    </row>
    <row r="112" spans="2:11" ht="12.75">
      <c r="B112" s="111">
        <f t="shared" si="6"/>
        <v>53</v>
      </c>
      <c r="C112" s="46">
        <v>0.143108</v>
      </c>
      <c r="D112" s="94">
        <f>D106+6*(D116-D106)/10</f>
        <v>0.0010135</v>
      </c>
      <c r="E112" s="96">
        <f t="shared" si="4"/>
        <v>10.5641265</v>
      </c>
      <c r="F112" s="43">
        <f>F106+6*(F116-F106)/10</f>
        <v>10.56514</v>
      </c>
      <c r="G112" s="100">
        <f>G106+6*(G116-G106)/10</f>
        <v>221.84</v>
      </c>
      <c r="H112" s="98">
        <f t="shared" si="5"/>
        <v>2375.64</v>
      </c>
      <c r="I112" s="100">
        <f>I106+6*(I116-I106)/10</f>
        <v>2597.48</v>
      </c>
      <c r="J112" s="225">
        <f t="shared" si="7"/>
        <v>53</v>
      </c>
      <c r="K112" s="19"/>
    </row>
    <row r="113" spans="2:11" ht="12.75">
      <c r="B113" s="111">
        <f t="shared" si="6"/>
        <v>53.5</v>
      </c>
      <c r="C113" s="44">
        <f>(C112+C114)/2</f>
        <v>0.14665650000000002</v>
      </c>
      <c r="D113" s="94">
        <f>D106+7*(D116-D106)/10</f>
        <v>0.0010137500000000001</v>
      </c>
      <c r="E113" s="96">
        <f t="shared" si="4"/>
        <v>10.31731625</v>
      </c>
      <c r="F113" s="43">
        <f>F106+7*(F116-F106)/10</f>
        <v>10.31833</v>
      </c>
      <c r="G113" s="100">
        <f>G106+7*(G116-G106)/10</f>
        <v>223.93</v>
      </c>
      <c r="H113" s="98">
        <f t="shared" si="5"/>
        <v>2374.4300000000003</v>
      </c>
      <c r="I113" s="100">
        <f>I106+7*(I116-I106)/10</f>
        <v>2598.36</v>
      </c>
      <c r="J113" s="225">
        <f t="shared" si="7"/>
        <v>53.5</v>
      </c>
      <c r="K113" s="19"/>
    </row>
    <row r="114" spans="2:11" ht="12.75">
      <c r="B114" s="111">
        <f t="shared" si="6"/>
        <v>54</v>
      </c>
      <c r="C114" s="46">
        <v>0.150205</v>
      </c>
      <c r="D114" s="94">
        <f>D106+8*(D116-D106)/10</f>
        <v>0.001014</v>
      </c>
      <c r="E114" s="96">
        <f t="shared" si="4"/>
        <v>10.070506</v>
      </c>
      <c r="F114" s="43">
        <f>F106+8*(F116-F106)/10</f>
        <v>10.07152</v>
      </c>
      <c r="G114" s="100">
        <f>G106+8*(G116-G106)/10</f>
        <v>226.01999999999998</v>
      </c>
      <c r="H114" s="98">
        <f t="shared" si="5"/>
        <v>2373.22</v>
      </c>
      <c r="I114" s="100">
        <f>I106+8*(I116-I106)/10</f>
        <v>2599.24</v>
      </c>
      <c r="J114" s="225">
        <f t="shared" si="7"/>
        <v>54</v>
      </c>
      <c r="K114" s="19"/>
    </row>
    <row r="115" spans="2:11" ht="12.75">
      <c r="B115" s="111">
        <f t="shared" si="6"/>
        <v>54.5</v>
      </c>
      <c r="C115" s="44">
        <f>(C114+C116)/2</f>
        <v>0.153903</v>
      </c>
      <c r="D115" s="94">
        <f>D106+9*(D116-D106)/10</f>
        <v>0.00101425</v>
      </c>
      <c r="E115" s="96">
        <f t="shared" si="4"/>
        <v>9.823695749999999</v>
      </c>
      <c r="F115" s="43">
        <f>F106+9*(F116-F106)/10</f>
        <v>9.82471</v>
      </c>
      <c r="G115" s="100">
        <f>G106+9*(G116-G106)/10</f>
        <v>228.10999999999999</v>
      </c>
      <c r="H115" s="98">
        <f t="shared" si="5"/>
        <v>2372.0099999999998</v>
      </c>
      <c r="I115" s="100">
        <f>I106+9*(I116-I106)/10</f>
        <v>2600.12</v>
      </c>
      <c r="J115" s="225">
        <f t="shared" si="7"/>
        <v>54.5</v>
      </c>
      <c r="K115" s="19"/>
    </row>
    <row r="116" spans="2:11" ht="12.75">
      <c r="B116" s="111">
        <f t="shared" si="6"/>
        <v>55</v>
      </c>
      <c r="C116" s="46">
        <v>0.157601</v>
      </c>
      <c r="D116" s="94">
        <v>0.0010145</v>
      </c>
      <c r="E116" s="96">
        <f t="shared" si="4"/>
        <v>9.5768855</v>
      </c>
      <c r="F116" s="46">
        <v>9.5779</v>
      </c>
      <c r="G116" s="100">
        <v>230.2</v>
      </c>
      <c r="H116" s="98">
        <f t="shared" si="5"/>
        <v>2370.8</v>
      </c>
      <c r="I116" s="100">
        <v>2601</v>
      </c>
      <c r="J116" s="225">
        <f t="shared" si="7"/>
        <v>55</v>
      </c>
      <c r="K116" s="19"/>
    </row>
    <row r="117" spans="2:11" ht="12.75">
      <c r="B117" s="111">
        <f t="shared" si="6"/>
        <v>55.5</v>
      </c>
      <c r="C117" s="44">
        <f>(C116+C118)/2</f>
        <v>0.161456</v>
      </c>
      <c r="D117" s="94">
        <f>D116+1*(D126-D116)/10</f>
        <v>0.00101476</v>
      </c>
      <c r="E117" s="96">
        <f t="shared" si="4"/>
        <v>9.38694524</v>
      </c>
      <c r="F117" s="43">
        <f>F116+1*(F126-F116)/10</f>
        <v>9.38796</v>
      </c>
      <c r="G117" s="100">
        <f>G116+1*(G126-G116)/10</f>
        <v>232.29</v>
      </c>
      <c r="H117" s="98">
        <f t="shared" si="5"/>
        <v>2369.58</v>
      </c>
      <c r="I117" s="100">
        <f>I116+1*(I126-I116)/10</f>
        <v>2601.87</v>
      </c>
      <c r="J117" s="225">
        <f t="shared" si="7"/>
        <v>55.5</v>
      </c>
      <c r="K117" s="19"/>
    </row>
    <row r="118" spans="2:11" ht="12.75">
      <c r="B118" s="111">
        <f t="shared" si="6"/>
        <v>56</v>
      </c>
      <c r="C118" s="46">
        <v>0.165311</v>
      </c>
      <c r="D118" s="94">
        <f>D116+2*(D126-D116)/10</f>
        <v>0.00101502</v>
      </c>
      <c r="E118" s="96">
        <f t="shared" si="4"/>
        <v>9.197004979999999</v>
      </c>
      <c r="F118" s="43">
        <f>F116+2*(F126-F116)/10</f>
        <v>9.19802</v>
      </c>
      <c r="G118" s="100">
        <f>G116+2*(G126-G116)/10</f>
        <v>234.38</v>
      </c>
      <c r="H118" s="98">
        <f t="shared" si="5"/>
        <v>2368.3599999999997</v>
      </c>
      <c r="I118" s="100">
        <f>I116+2*(I126-I116)/10</f>
        <v>2602.74</v>
      </c>
      <c r="J118" s="225">
        <f t="shared" si="7"/>
        <v>56</v>
      </c>
      <c r="K118" s="19"/>
    </row>
    <row r="119" spans="2:11" ht="12.75">
      <c r="B119" s="111">
        <f t="shared" si="6"/>
        <v>56.5</v>
      </c>
      <c r="C119" s="44">
        <f>(C118+C120)/2</f>
        <v>0.169324</v>
      </c>
      <c r="D119" s="94">
        <f>D116+3*(D126-D116)/10</f>
        <v>0.00101528</v>
      </c>
      <c r="E119" s="96">
        <f t="shared" si="4"/>
        <v>9.007064719999999</v>
      </c>
      <c r="F119" s="43">
        <f>F116+3*(F126-F116)/10</f>
        <v>9.00808</v>
      </c>
      <c r="G119" s="100">
        <f>G116+3*(G126-G116)/10</f>
        <v>236.47</v>
      </c>
      <c r="H119" s="98">
        <f t="shared" si="5"/>
        <v>2367.1400000000003</v>
      </c>
      <c r="I119" s="100">
        <f>I116+3*(I126-I116)/10</f>
        <v>2603.61</v>
      </c>
      <c r="J119" s="225">
        <f t="shared" si="7"/>
        <v>56.5</v>
      </c>
      <c r="K119" s="19"/>
    </row>
    <row r="120" spans="2:11" ht="12.75">
      <c r="B120" s="111">
        <f t="shared" si="6"/>
        <v>57</v>
      </c>
      <c r="C120" s="46">
        <v>0.173337</v>
      </c>
      <c r="D120" s="94">
        <f>D116+4*(D126-D116)/10</f>
        <v>0.0010155399999999999</v>
      </c>
      <c r="E120" s="96">
        <f t="shared" si="4"/>
        <v>8.81712446</v>
      </c>
      <c r="F120" s="43">
        <f>F116+4*(F126-F116)/10</f>
        <v>8.81814</v>
      </c>
      <c r="G120" s="100">
        <f>G116+4*(G126-G116)/10</f>
        <v>238.56</v>
      </c>
      <c r="H120" s="98">
        <f t="shared" si="5"/>
        <v>2365.92</v>
      </c>
      <c r="I120" s="100">
        <f>I116+4*(I126-I116)/10</f>
        <v>2604.48</v>
      </c>
      <c r="J120" s="225">
        <f t="shared" si="7"/>
        <v>57</v>
      </c>
      <c r="K120" s="19"/>
    </row>
    <row r="121" spans="2:11" ht="12.75">
      <c r="B121" s="111">
        <f t="shared" si="6"/>
        <v>57.5</v>
      </c>
      <c r="C121" s="44">
        <f>(C120+C122)/2</f>
        <v>0.177514</v>
      </c>
      <c r="D121" s="94">
        <f>D116+5*(D126-D116)/10</f>
        <v>0.0010157999999999999</v>
      </c>
      <c r="E121" s="96">
        <f t="shared" si="4"/>
        <v>8.6271842</v>
      </c>
      <c r="F121" s="43">
        <f>F116+5*(F126-F116)/10</f>
        <v>8.6282</v>
      </c>
      <c r="G121" s="100">
        <f>G116+5*(G126-G116)/10</f>
        <v>240.64999999999998</v>
      </c>
      <c r="H121" s="98">
        <f t="shared" si="5"/>
        <v>2364.7</v>
      </c>
      <c r="I121" s="100">
        <f>I116+5*(I126-I116)/10</f>
        <v>2605.35</v>
      </c>
      <c r="J121" s="225">
        <f t="shared" si="7"/>
        <v>57.5</v>
      </c>
      <c r="K121" s="19"/>
    </row>
    <row r="122" spans="2:11" ht="12.75">
      <c r="B122" s="111">
        <f t="shared" si="6"/>
        <v>58</v>
      </c>
      <c r="C122" s="46">
        <v>0.181691</v>
      </c>
      <c r="D122" s="94">
        <f>D116+6*(D126-D116)/10</f>
        <v>0.00101606</v>
      </c>
      <c r="E122" s="96">
        <f t="shared" si="4"/>
        <v>8.43724394</v>
      </c>
      <c r="F122" s="43">
        <f>F116+6*(F126-F116)/10</f>
        <v>8.43826</v>
      </c>
      <c r="G122" s="100">
        <f>G116+6*(G126-G116)/10</f>
        <v>242.73999999999998</v>
      </c>
      <c r="H122" s="98">
        <f t="shared" si="5"/>
        <v>2363.48</v>
      </c>
      <c r="I122" s="100">
        <f>I116+6*(I126-I116)/10</f>
        <v>2606.22</v>
      </c>
      <c r="J122" s="225">
        <f t="shared" si="7"/>
        <v>58</v>
      </c>
      <c r="K122" s="19"/>
    </row>
    <row r="123" spans="2:11" ht="12.75">
      <c r="B123" s="111">
        <f t="shared" si="6"/>
        <v>58.5</v>
      </c>
      <c r="C123" s="44">
        <f>(C122+C124)/2</f>
        <v>0.18604199999999999</v>
      </c>
      <c r="D123" s="94">
        <f>D116+7*(D126-D116)/10</f>
        <v>0.00101632</v>
      </c>
      <c r="E123" s="96">
        <f t="shared" si="4"/>
        <v>8.24730368</v>
      </c>
      <c r="F123" s="43">
        <f>F116+7*(F126-F116)/10</f>
        <v>8.24832</v>
      </c>
      <c r="G123" s="100">
        <f>G116+7*(G126-G116)/10</f>
        <v>244.82999999999998</v>
      </c>
      <c r="H123" s="98">
        <f t="shared" si="5"/>
        <v>2362.2599999999998</v>
      </c>
      <c r="I123" s="100">
        <f>I116+7*(I126-I116)/10</f>
        <v>2607.0899999999997</v>
      </c>
      <c r="J123" s="225">
        <f t="shared" si="7"/>
        <v>58.5</v>
      </c>
      <c r="K123" s="19"/>
    </row>
    <row r="124" spans="2:11" ht="12.75">
      <c r="B124" s="111">
        <f t="shared" si="6"/>
        <v>59</v>
      </c>
      <c r="C124" s="46">
        <v>0.190393</v>
      </c>
      <c r="D124" s="94">
        <f>D116+8*(D126-D116)/10</f>
        <v>0.00101658</v>
      </c>
      <c r="E124" s="96">
        <f t="shared" si="4"/>
        <v>8.05736342</v>
      </c>
      <c r="F124" s="43">
        <f>F116+8*(F126-F116)/10</f>
        <v>8.05838</v>
      </c>
      <c r="G124" s="100">
        <f>G116+8*(G126-G116)/10</f>
        <v>246.92</v>
      </c>
      <c r="H124" s="98">
        <f t="shared" si="5"/>
        <v>2361.04</v>
      </c>
      <c r="I124" s="100">
        <f>I116+8*(I126-I116)/10</f>
        <v>2607.96</v>
      </c>
      <c r="J124" s="225">
        <f t="shared" si="7"/>
        <v>59</v>
      </c>
      <c r="K124" s="19"/>
    </row>
    <row r="125" spans="2:11" ht="12.75">
      <c r="B125" s="111">
        <f t="shared" si="6"/>
        <v>59.5</v>
      </c>
      <c r="C125" s="44">
        <f>(C124+C126)/2</f>
        <v>0.194916</v>
      </c>
      <c r="D125" s="94">
        <f>D116+9*(D126-D116)/10</f>
        <v>0.00101684</v>
      </c>
      <c r="E125" s="96">
        <f t="shared" si="4"/>
        <v>7.8674231599999995</v>
      </c>
      <c r="F125" s="43">
        <f>F116+9*(F126-F116)/10</f>
        <v>7.86844</v>
      </c>
      <c r="G125" s="100">
        <f>G116+9*(G126-G116)/10</f>
        <v>249.01</v>
      </c>
      <c r="H125" s="98">
        <f t="shared" si="5"/>
        <v>2359.8199999999997</v>
      </c>
      <c r="I125" s="100">
        <f>I116+9*(I126-I116)/10</f>
        <v>2608.83</v>
      </c>
      <c r="J125" s="225">
        <f t="shared" si="7"/>
        <v>59.5</v>
      </c>
      <c r="K125" s="19"/>
    </row>
    <row r="126" spans="2:11" ht="12.75">
      <c r="B126" s="111">
        <f t="shared" si="6"/>
        <v>60</v>
      </c>
      <c r="C126" s="46">
        <v>0.199439</v>
      </c>
      <c r="D126" s="94">
        <v>0.0010171</v>
      </c>
      <c r="E126" s="96">
        <f t="shared" si="4"/>
        <v>7.677482899999999</v>
      </c>
      <c r="F126" s="46">
        <v>7.6785</v>
      </c>
      <c r="G126" s="100">
        <v>251.1</v>
      </c>
      <c r="H126" s="98">
        <f t="shared" si="5"/>
        <v>2358.6</v>
      </c>
      <c r="I126" s="100">
        <v>2609.7</v>
      </c>
      <c r="J126" s="225">
        <f t="shared" si="7"/>
        <v>60</v>
      </c>
      <c r="K126" s="19"/>
    </row>
    <row r="127" spans="2:11" ht="12.75">
      <c r="B127" s="111">
        <f t="shared" si="6"/>
        <v>60.5</v>
      </c>
      <c r="C127" s="44">
        <f>(C126+C128)/2</f>
        <v>0.2041485</v>
      </c>
      <c r="D127" s="94">
        <f>D126+1*(D136-D126)/10</f>
        <v>0.00101738</v>
      </c>
      <c r="E127" s="96">
        <f t="shared" si="4"/>
        <v>7.529862619999999</v>
      </c>
      <c r="F127" s="43">
        <f>F126+1*(F136-F126)/10</f>
        <v>7.53088</v>
      </c>
      <c r="G127" s="100">
        <f>G126+1*(G136-G126)/10</f>
        <v>253.19</v>
      </c>
      <c r="H127" s="98">
        <f t="shared" si="5"/>
        <v>2357.3799999999997</v>
      </c>
      <c r="I127" s="100">
        <f>I126+1*(I136-I126)/10</f>
        <v>2610.5699999999997</v>
      </c>
      <c r="J127" s="225">
        <f t="shared" si="7"/>
        <v>60.5</v>
      </c>
      <c r="K127" s="19"/>
    </row>
    <row r="128" spans="2:11" ht="12.75">
      <c r="B128" s="111">
        <f t="shared" si="6"/>
        <v>61</v>
      </c>
      <c r="C128" s="46">
        <v>0.208858</v>
      </c>
      <c r="D128" s="94">
        <f>D126+2*(D136-D126)/10</f>
        <v>0.0010176599999999999</v>
      </c>
      <c r="E128" s="96">
        <f t="shared" si="4"/>
        <v>7.38224234</v>
      </c>
      <c r="F128" s="43">
        <f>F126+2*(F136-F126)/10</f>
        <v>7.38326</v>
      </c>
      <c r="G128" s="100">
        <f>G126+2*(G136-G126)/10</f>
        <v>255.28</v>
      </c>
      <c r="H128" s="98">
        <f t="shared" si="5"/>
        <v>2356.16</v>
      </c>
      <c r="I128" s="100">
        <f>I126+2*(I136-I126)/10</f>
        <v>2611.44</v>
      </c>
      <c r="J128" s="225">
        <f t="shared" si="7"/>
        <v>61</v>
      </c>
      <c r="K128" s="19"/>
    </row>
    <row r="129" spans="2:11" ht="12.75">
      <c r="B129" s="111">
        <f t="shared" si="6"/>
        <v>61.5</v>
      </c>
      <c r="C129" s="44">
        <f>(C128+C130)/2</f>
        <v>0.21375450000000001</v>
      </c>
      <c r="D129" s="94">
        <f>D126+3*(D136-D126)/10</f>
        <v>0.00101794</v>
      </c>
      <c r="E129" s="96">
        <f t="shared" si="4"/>
        <v>7.23462206</v>
      </c>
      <c r="F129" s="43">
        <f>F126+3*(F136-F126)/10</f>
        <v>7.23564</v>
      </c>
      <c r="G129" s="100">
        <f>G126+3*(G136-G126)/10</f>
        <v>257.37</v>
      </c>
      <c r="H129" s="98">
        <f t="shared" si="5"/>
        <v>2354.94</v>
      </c>
      <c r="I129" s="100">
        <f>I126+3*(I136-I126)/10</f>
        <v>2612.31</v>
      </c>
      <c r="J129" s="225">
        <f t="shared" si="7"/>
        <v>61.5</v>
      </c>
      <c r="K129" s="19"/>
    </row>
    <row r="130" spans="2:11" ht="12.75">
      <c r="B130" s="111">
        <f t="shared" si="6"/>
        <v>62</v>
      </c>
      <c r="C130" s="46">
        <v>0.218651</v>
      </c>
      <c r="D130" s="94">
        <f>D126+4*(D136-D126)/10</f>
        <v>0.00101822</v>
      </c>
      <c r="E130" s="96">
        <f t="shared" si="4"/>
        <v>7.0870017800000005</v>
      </c>
      <c r="F130" s="43">
        <f>F126+4*(F136-F126)/10</f>
        <v>7.08802</v>
      </c>
      <c r="G130" s="100">
        <f>G126+4*(G136-G126)/10</f>
        <v>259.46</v>
      </c>
      <c r="H130" s="98">
        <f t="shared" si="5"/>
        <v>2353.72</v>
      </c>
      <c r="I130" s="100">
        <f>I126+4*(I136-I126)/10</f>
        <v>2613.18</v>
      </c>
      <c r="J130" s="225">
        <f t="shared" si="7"/>
        <v>62</v>
      </c>
      <c r="K130" s="19"/>
    </row>
    <row r="131" spans="2:11" ht="12.75">
      <c r="B131" s="111">
        <f t="shared" si="6"/>
        <v>62.5</v>
      </c>
      <c r="C131" s="44">
        <f>(C130+C132)/2</f>
        <v>0.2237385</v>
      </c>
      <c r="D131" s="94">
        <f>D126+5*(D136-D126)/10</f>
        <v>0.0010184999999999999</v>
      </c>
      <c r="E131" s="96">
        <f t="shared" si="4"/>
        <v>6.9393815000000005</v>
      </c>
      <c r="F131" s="43">
        <f>F126+5*(F136-F126)/10</f>
        <v>6.9404</v>
      </c>
      <c r="G131" s="100">
        <f>G126+5*(G136-G126)/10</f>
        <v>261.55</v>
      </c>
      <c r="H131" s="98">
        <f t="shared" si="5"/>
        <v>2352.5</v>
      </c>
      <c r="I131" s="100">
        <f>I126+5*(I136-I126)/10</f>
        <v>2614.05</v>
      </c>
      <c r="J131" s="225">
        <f t="shared" si="7"/>
        <v>62.5</v>
      </c>
      <c r="K131" s="19"/>
    </row>
    <row r="132" spans="2:11" ht="12.75">
      <c r="B132" s="111">
        <f t="shared" si="6"/>
        <v>63</v>
      </c>
      <c r="C132" s="46">
        <v>0.228826</v>
      </c>
      <c r="D132" s="94">
        <f>D126+6*(D136-D126)/10</f>
        <v>0.00101878</v>
      </c>
      <c r="E132" s="96">
        <f t="shared" si="4"/>
        <v>6.79176122</v>
      </c>
      <c r="F132" s="43">
        <f>F126+6*(F136-F126)/10</f>
        <v>6.79278</v>
      </c>
      <c r="G132" s="100">
        <f>G126+6*(G136-G126)/10</f>
        <v>263.64</v>
      </c>
      <c r="H132" s="98">
        <f t="shared" si="5"/>
        <v>2351.28</v>
      </c>
      <c r="I132" s="100">
        <f>I126+6*(I136-I126)/10</f>
        <v>2614.92</v>
      </c>
      <c r="J132" s="225">
        <f t="shared" si="7"/>
        <v>63</v>
      </c>
      <c r="K132" s="19"/>
    </row>
    <row r="133" spans="2:11" ht="12.75">
      <c r="B133" s="111">
        <f t="shared" si="6"/>
        <v>63.5</v>
      </c>
      <c r="C133" s="44">
        <f>(C132+C134)/2</f>
        <v>0.2341155</v>
      </c>
      <c r="D133" s="94">
        <f>D126+7*(D136-D126)/10</f>
        <v>0.00101906</v>
      </c>
      <c r="E133" s="96">
        <f t="shared" si="4"/>
        <v>6.64414094</v>
      </c>
      <c r="F133" s="43">
        <f>F126+7*(F136-F126)/10</f>
        <v>6.64516</v>
      </c>
      <c r="G133" s="100">
        <f>G126+7*(G136-G126)/10</f>
        <v>265.73</v>
      </c>
      <c r="H133" s="98">
        <f t="shared" si="5"/>
        <v>2350.06</v>
      </c>
      <c r="I133" s="100">
        <f>I126+7*(I136-I126)/10</f>
        <v>2615.79</v>
      </c>
      <c r="J133" s="225">
        <f t="shared" si="7"/>
        <v>63.5</v>
      </c>
      <c r="K133" s="19"/>
    </row>
    <row r="134" spans="2:11" ht="12.75">
      <c r="B134" s="111">
        <f t="shared" si="6"/>
        <v>64</v>
      </c>
      <c r="C134" s="46">
        <v>0.239405</v>
      </c>
      <c r="D134" s="94">
        <f>D126+8*(D136-D126)/10</f>
        <v>0.00101934</v>
      </c>
      <c r="E134" s="96">
        <f t="shared" si="4"/>
        <v>6.49652066</v>
      </c>
      <c r="F134" s="43">
        <f>F126+8*(F136-F126)/10</f>
        <v>6.49754</v>
      </c>
      <c r="G134" s="100">
        <f>G126+8*(G136-G126)/10</f>
        <v>267.82</v>
      </c>
      <c r="H134" s="98">
        <f t="shared" si="5"/>
        <v>2348.8399999999997</v>
      </c>
      <c r="I134" s="100">
        <f>I126+8*(I136-I126)/10</f>
        <v>2616.66</v>
      </c>
      <c r="J134" s="225">
        <f t="shared" si="7"/>
        <v>64</v>
      </c>
      <c r="K134" s="19"/>
    </row>
    <row r="135" spans="2:11" ht="12.75">
      <c r="B135" s="111">
        <f t="shared" si="6"/>
        <v>64.5</v>
      </c>
      <c r="C135" s="44">
        <f>(C134+C136)/2</f>
        <v>0.24490099999999998</v>
      </c>
      <c r="D135" s="94">
        <f>D126+9*(D136-D126)/10</f>
        <v>0.00101962</v>
      </c>
      <c r="E135" s="96">
        <f aca="true" t="shared" si="8" ref="E135:E198">F135-D135</f>
        <v>6.34890038</v>
      </c>
      <c r="F135" s="43">
        <f>F126+9*(F136-F126)/10</f>
        <v>6.34992</v>
      </c>
      <c r="G135" s="100">
        <f>G126+9*(G136-G126)/10</f>
        <v>269.91</v>
      </c>
      <c r="H135" s="98">
        <f aca="true" t="shared" si="9" ref="H135:H198">I135-G135</f>
        <v>2347.6200000000003</v>
      </c>
      <c r="I135" s="100">
        <f>I126+9*(I136-I126)/10</f>
        <v>2617.53</v>
      </c>
      <c r="J135" s="225">
        <f t="shared" si="7"/>
        <v>64.5</v>
      </c>
      <c r="K135" s="19"/>
    </row>
    <row r="136" spans="2:11" ht="12.75">
      <c r="B136" s="111">
        <f aca="true" t="shared" si="10" ref="B136:B199">B135+0.5</f>
        <v>65</v>
      </c>
      <c r="C136" s="46">
        <v>0.250397</v>
      </c>
      <c r="D136" s="94">
        <v>0.0010199</v>
      </c>
      <c r="E136" s="96">
        <f t="shared" si="8"/>
        <v>6.2012801</v>
      </c>
      <c r="F136" s="46">
        <v>6.2023</v>
      </c>
      <c r="G136" s="100">
        <v>272</v>
      </c>
      <c r="H136" s="98">
        <f t="shared" si="9"/>
        <v>2346.4</v>
      </c>
      <c r="I136" s="100">
        <v>2618.4</v>
      </c>
      <c r="J136" s="225">
        <f aca="true" t="shared" si="11" ref="J136:J199">J135+0.5</f>
        <v>65</v>
      </c>
      <c r="K136" s="19"/>
    </row>
    <row r="137" spans="2:11" ht="12.75">
      <c r="B137" s="111">
        <f t="shared" si="10"/>
        <v>65.5</v>
      </c>
      <c r="C137" s="44">
        <f>(C136+C138)/2</f>
        <v>0.2561035</v>
      </c>
      <c r="D137" s="94">
        <f>D136+1*(D146-D136)/10</f>
        <v>0.00102019</v>
      </c>
      <c r="E137" s="96">
        <f t="shared" si="8"/>
        <v>6.08567981</v>
      </c>
      <c r="F137" s="43">
        <f>F136+1*(F146-F136)/10</f>
        <v>6.0867</v>
      </c>
      <c r="G137" s="100">
        <f>G136+1*(G146-G136)/10</f>
        <v>274.1</v>
      </c>
      <c r="H137" s="98">
        <f t="shared" si="9"/>
        <v>2345.15</v>
      </c>
      <c r="I137" s="100">
        <f>I136+1*(I146-I136)/10</f>
        <v>2619.25</v>
      </c>
      <c r="J137" s="225">
        <f t="shared" si="11"/>
        <v>65.5</v>
      </c>
      <c r="K137" s="19"/>
    </row>
    <row r="138" spans="2:11" ht="12.75">
      <c r="B138" s="111">
        <f t="shared" si="10"/>
        <v>66</v>
      </c>
      <c r="C138" s="46">
        <v>0.26181</v>
      </c>
      <c r="D138" s="94">
        <f>D136+2*(D146-D136)/10</f>
        <v>0.00102048</v>
      </c>
      <c r="E138" s="96">
        <f t="shared" si="8"/>
        <v>5.97007952</v>
      </c>
      <c r="F138" s="43">
        <f>F136+2*(F146-F136)/10</f>
        <v>5.9711</v>
      </c>
      <c r="G138" s="100">
        <f>G136+2*(G146-G136)/10</f>
        <v>276.2</v>
      </c>
      <c r="H138" s="98">
        <f t="shared" si="9"/>
        <v>2343.9</v>
      </c>
      <c r="I138" s="100">
        <f>I136+2*(I146-I136)/10</f>
        <v>2620.1</v>
      </c>
      <c r="J138" s="225">
        <f t="shared" si="11"/>
        <v>66</v>
      </c>
      <c r="K138" s="19"/>
    </row>
    <row r="139" spans="2:11" ht="12.75">
      <c r="B139" s="111">
        <f t="shared" si="10"/>
        <v>66.5</v>
      </c>
      <c r="C139" s="44">
        <f>(C138+C140)/2</f>
        <v>0.267737</v>
      </c>
      <c r="D139" s="94">
        <f>D136+3*(D146-D136)/10</f>
        <v>0.00102077</v>
      </c>
      <c r="E139" s="96">
        <f t="shared" si="8"/>
        <v>5.85447923</v>
      </c>
      <c r="F139" s="43">
        <f>F136+3*(F146-F136)/10</f>
        <v>5.8555</v>
      </c>
      <c r="G139" s="100">
        <f>G136+3*(G146-G136)/10</f>
        <v>278.3</v>
      </c>
      <c r="H139" s="98">
        <f t="shared" si="9"/>
        <v>2342.65</v>
      </c>
      <c r="I139" s="100">
        <f>I136+3*(I146-I136)/10</f>
        <v>2620.9500000000003</v>
      </c>
      <c r="J139" s="225">
        <f t="shared" si="11"/>
        <v>66.5</v>
      </c>
      <c r="K139" s="19"/>
    </row>
    <row r="140" spans="2:11" ht="12.75">
      <c r="B140" s="111">
        <f t="shared" si="10"/>
        <v>67</v>
      </c>
      <c r="C140" s="46">
        <v>0.273664</v>
      </c>
      <c r="D140" s="94">
        <f>D136+4*(D146-D136)/10</f>
        <v>0.00102106</v>
      </c>
      <c r="E140" s="96">
        <f t="shared" si="8"/>
        <v>5.738878939999999</v>
      </c>
      <c r="F140" s="43">
        <f>F136+4*(F146-F136)/10</f>
        <v>5.7399</v>
      </c>
      <c r="G140" s="100">
        <f>G136+4*(G146-G136)/10</f>
        <v>280.4</v>
      </c>
      <c r="H140" s="98">
        <f t="shared" si="9"/>
        <v>2341.4</v>
      </c>
      <c r="I140" s="100">
        <f>I136+4*(I146-I136)/10</f>
        <v>2621.8</v>
      </c>
      <c r="J140" s="225">
        <f t="shared" si="11"/>
        <v>67</v>
      </c>
      <c r="K140" s="19"/>
    </row>
    <row r="141" spans="2:11" ht="12.75">
      <c r="B141" s="111">
        <f t="shared" si="10"/>
        <v>67.5</v>
      </c>
      <c r="C141" s="44">
        <f>(C140+C142)/2</f>
        <v>0.2798155</v>
      </c>
      <c r="D141" s="94">
        <f>D136+5*(D146-D136)/10</f>
        <v>0.0010213499999999999</v>
      </c>
      <c r="E141" s="96">
        <f t="shared" si="8"/>
        <v>5.62327865</v>
      </c>
      <c r="F141" s="43">
        <f>F136+5*(F146-F136)/10</f>
        <v>5.6243</v>
      </c>
      <c r="G141" s="100">
        <f>G136+5*(G146-G136)/10</f>
        <v>282.5</v>
      </c>
      <c r="H141" s="98">
        <f t="shared" si="9"/>
        <v>2340.15</v>
      </c>
      <c r="I141" s="100">
        <f>I136+5*(I146-I136)/10</f>
        <v>2622.65</v>
      </c>
      <c r="J141" s="225">
        <f t="shared" si="11"/>
        <v>67.5</v>
      </c>
      <c r="K141" s="19"/>
    </row>
    <row r="142" spans="2:11" ht="12.75">
      <c r="B142" s="111">
        <f t="shared" si="10"/>
        <v>68</v>
      </c>
      <c r="C142" s="46">
        <v>0.285967</v>
      </c>
      <c r="D142" s="94">
        <f>D136+6*(D146-D136)/10</f>
        <v>0.0010216399999999999</v>
      </c>
      <c r="E142" s="96">
        <f t="shared" si="8"/>
        <v>5.50767836</v>
      </c>
      <c r="F142" s="43">
        <f>F136+6*(F146-F136)/10</f>
        <v>5.5087</v>
      </c>
      <c r="G142" s="100">
        <f>G136+6*(G146-G136)/10</f>
        <v>284.6</v>
      </c>
      <c r="H142" s="98">
        <f t="shared" si="9"/>
        <v>2338.9</v>
      </c>
      <c r="I142" s="100">
        <f>I136+6*(I146-I136)/10</f>
        <v>2623.5</v>
      </c>
      <c r="J142" s="225">
        <f t="shared" si="11"/>
        <v>68</v>
      </c>
      <c r="K142" s="19"/>
    </row>
    <row r="143" spans="2:11" ht="12.75">
      <c r="B143" s="111">
        <f t="shared" si="10"/>
        <v>68.5</v>
      </c>
      <c r="C143" s="44">
        <f>(C142+C144)/2</f>
        <v>0.292354</v>
      </c>
      <c r="D143" s="94">
        <f>D136+7*(D146-D136)/10</f>
        <v>0.0010219299999999999</v>
      </c>
      <c r="E143" s="96">
        <f t="shared" si="8"/>
        <v>5.392078069999999</v>
      </c>
      <c r="F143" s="43">
        <f>F136+7*(F146-F136)/10</f>
        <v>5.3931</v>
      </c>
      <c r="G143" s="100">
        <f>G136+7*(G146-G136)/10</f>
        <v>286.7</v>
      </c>
      <c r="H143" s="98">
        <f t="shared" si="9"/>
        <v>2337.65</v>
      </c>
      <c r="I143" s="100">
        <f>I136+7*(I146-I136)/10</f>
        <v>2624.35</v>
      </c>
      <c r="J143" s="225">
        <f t="shared" si="11"/>
        <v>68.5</v>
      </c>
      <c r="K143" s="19"/>
    </row>
    <row r="144" spans="2:11" ht="12.75">
      <c r="B144" s="111">
        <f t="shared" si="10"/>
        <v>69</v>
      </c>
      <c r="C144" s="46">
        <v>0.298741</v>
      </c>
      <c r="D144" s="94">
        <f>D136+8*(D146-D136)/10</f>
        <v>0.00102222</v>
      </c>
      <c r="E144" s="96">
        <f t="shared" si="8"/>
        <v>5.27647778</v>
      </c>
      <c r="F144" s="43">
        <f>F136+8*(F146-F136)/10</f>
        <v>5.2775</v>
      </c>
      <c r="G144" s="100">
        <f>G136+8*(G146-G136)/10</f>
        <v>288.8</v>
      </c>
      <c r="H144" s="98">
        <f t="shared" si="9"/>
        <v>2336.4</v>
      </c>
      <c r="I144" s="100">
        <f>I136+8*(I146-I136)/10</f>
        <v>2625.2000000000003</v>
      </c>
      <c r="J144" s="225">
        <f t="shared" si="11"/>
        <v>69</v>
      </c>
      <c r="K144" s="19"/>
    </row>
    <row r="145" spans="2:11" ht="12.75">
      <c r="B145" s="111">
        <f t="shared" si="10"/>
        <v>69.5</v>
      </c>
      <c r="C145" s="44">
        <f>(C144+C146)/2</f>
        <v>0.3053635</v>
      </c>
      <c r="D145" s="94">
        <f>D136+9*(D146-D136)/10</f>
        <v>0.00102251</v>
      </c>
      <c r="E145" s="96">
        <f t="shared" si="8"/>
        <v>5.160877489999999</v>
      </c>
      <c r="F145" s="43">
        <f>F136+9*(F146-F136)/10</f>
        <v>5.161899999999999</v>
      </c>
      <c r="G145" s="100">
        <f>G136+9*(G146-G136)/10</f>
        <v>290.9</v>
      </c>
      <c r="H145" s="98">
        <f t="shared" si="9"/>
        <v>2335.15</v>
      </c>
      <c r="I145" s="100">
        <f>I136+9*(I146-I136)/10</f>
        <v>2626.05</v>
      </c>
      <c r="J145" s="225">
        <f t="shared" si="11"/>
        <v>69.5</v>
      </c>
      <c r="K145" s="19"/>
    </row>
    <row r="146" spans="2:11" ht="12.75">
      <c r="B146" s="111">
        <f t="shared" si="10"/>
        <v>70</v>
      </c>
      <c r="C146" s="46">
        <v>0.311986</v>
      </c>
      <c r="D146" s="94">
        <v>0.0010228</v>
      </c>
      <c r="E146" s="96">
        <f t="shared" si="8"/>
        <v>5.045277199999999</v>
      </c>
      <c r="F146" s="46">
        <v>5.0463</v>
      </c>
      <c r="G146" s="100">
        <v>293</v>
      </c>
      <c r="H146" s="98">
        <f t="shared" si="9"/>
        <v>2333.9</v>
      </c>
      <c r="I146" s="100">
        <v>2626.9</v>
      </c>
      <c r="J146" s="225">
        <f t="shared" si="11"/>
        <v>70</v>
      </c>
      <c r="K146" s="19"/>
    </row>
    <row r="147" spans="2:11" ht="12.75">
      <c r="B147" s="111">
        <f t="shared" si="10"/>
        <v>70.5</v>
      </c>
      <c r="C147" s="44">
        <f>(C146+C148)/2</f>
        <v>0.31886000000000003</v>
      </c>
      <c r="D147" s="94">
        <f>D146+1*(D156-D146)/10</f>
        <v>0.0010231099999999998</v>
      </c>
      <c r="E147" s="96">
        <f t="shared" si="8"/>
        <v>4.9540568899999995</v>
      </c>
      <c r="F147" s="43">
        <f>F146+1*(F156-F146)/10</f>
        <v>4.95508</v>
      </c>
      <c r="G147" s="100">
        <f>G146+1*(G156-G146)/10</f>
        <v>295.09</v>
      </c>
      <c r="H147" s="98">
        <f t="shared" si="9"/>
        <v>2332.66</v>
      </c>
      <c r="I147" s="100">
        <f>I146+1*(I156-I146)/10</f>
        <v>2627.75</v>
      </c>
      <c r="J147" s="225">
        <f t="shared" si="11"/>
        <v>70.5</v>
      </c>
      <c r="K147" s="19"/>
    </row>
    <row r="148" spans="2:11" ht="12.75">
      <c r="B148" s="111">
        <f t="shared" si="10"/>
        <v>71</v>
      </c>
      <c r="C148" s="46">
        <v>0.325734</v>
      </c>
      <c r="D148" s="94">
        <f>D146+2*(D156-D146)/10</f>
        <v>0.00102342</v>
      </c>
      <c r="E148" s="96">
        <f t="shared" si="8"/>
        <v>4.86283658</v>
      </c>
      <c r="F148" s="43">
        <f>F146+2*(F156-F146)/10</f>
        <v>4.86386</v>
      </c>
      <c r="G148" s="100">
        <f>G146+2*(G156-G146)/10</f>
        <v>297.18</v>
      </c>
      <c r="H148" s="98">
        <f t="shared" si="9"/>
        <v>2331.42</v>
      </c>
      <c r="I148" s="100">
        <f>I146+2*(I156-I146)/10</f>
        <v>2628.6</v>
      </c>
      <c r="J148" s="225">
        <f t="shared" si="11"/>
        <v>71</v>
      </c>
      <c r="K148" s="19"/>
    </row>
    <row r="149" spans="2:11" ht="12.75">
      <c r="B149" s="111">
        <f t="shared" si="10"/>
        <v>71.5</v>
      </c>
      <c r="C149" s="44">
        <f>(C148+C150)/2</f>
        <v>0.3328585</v>
      </c>
      <c r="D149" s="94">
        <f>D146+3*(D156-D146)/10</f>
        <v>0.00102373</v>
      </c>
      <c r="E149" s="96">
        <f t="shared" si="8"/>
        <v>4.77161627</v>
      </c>
      <c r="F149" s="43">
        <f>F146+3*(F156-F146)/10</f>
        <v>4.77264</v>
      </c>
      <c r="G149" s="100">
        <f>G146+3*(G156-G146)/10</f>
        <v>299.27</v>
      </c>
      <c r="H149" s="98">
        <f t="shared" si="9"/>
        <v>2330.1800000000003</v>
      </c>
      <c r="I149" s="100">
        <f>I146+3*(I156-I146)/10</f>
        <v>2629.4500000000003</v>
      </c>
      <c r="J149" s="225">
        <f t="shared" si="11"/>
        <v>71.5</v>
      </c>
      <c r="K149" s="19"/>
    </row>
    <row r="150" spans="2:11" ht="12.75">
      <c r="B150" s="111">
        <f t="shared" si="10"/>
        <v>72</v>
      </c>
      <c r="C150" s="46">
        <v>0.339983</v>
      </c>
      <c r="D150" s="94">
        <f>D146+4*(D156-D146)/10</f>
        <v>0.00102404</v>
      </c>
      <c r="E150" s="96">
        <f t="shared" si="8"/>
        <v>4.68039596</v>
      </c>
      <c r="F150" s="43">
        <f>F146+4*(F156-F146)/10</f>
        <v>4.68142</v>
      </c>
      <c r="G150" s="100">
        <f>G146+4*(G156-G146)/10</f>
        <v>301.36</v>
      </c>
      <c r="H150" s="98">
        <f t="shared" si="9"/>
        <v>2328.94</v>
      </c>
      <c r="I150" s="100">
        <f>I146+4*(I156-I146)/10</f>
        <v>2630.3</v>
      </c>
      <c r="J150" s="225">
        <f t="shared" si="11"/>
        <v>72</v>
      </c>
      <c r="K150" s="19"/>
    </row>
    <row r="151" spans="2:11" ht="12.75">
      <c r="B151" s="111">
        <f t="shared" si="10"/>
        <v>72.5</v>
      </c>
      <c r="C151" s="44">
        <f>(C150+C152)/2</f>
        <v>0.347371</v>
      </c>
      <c r="D151" s="94">
        <f>D146+5*(D156-D146)/10</f>
        <v>0.0010243499999999998</v>
      </c>
      <c r="E151" s="96">
        <f t="shared" si="8"/>
        <v>4.58917565</v>
      </c>
      <c r="F151" s="43">
        <f>F146+5*(F156-F146)/10</f>
        <v>4.590199999999999</v>
      </c>
      <c r="G151" s="100">
        <f>G146+5*(G156-G146)/10</f>
        <v>303.45</v>
      </c>
      <c r="H151" s="98">
        <f t="shared" si="9"/>
        <v>2327.7000000000003</v>
      </c>
      <c r="I151" s="100">
        <f>I146+5*(I156-I146)/10</f>
        <v>2631.15</v>
      </c>
      <c r="J151" s="225">
        <f t="shared" si="11"/>
        <v>72.5</v>
      </c>
      <c r="K151" s="19"/>
    </row>
    <row r="152" spans="2:11" ht="12.75">
      <c r="B152" s="111">
        <f t="shared" si="10"/>
        <v>73</v>
      </c>
      <c r="C152" s="46">
        <v>0.354759</v>
      </c>
      <c r="D152" s="94">
        <f>D146+6*(D156-D146)/10</f>
        <v>0.00102466</v>
      </c>
      <c r="E152" s="96">
        <f t="shared" si="8"/>
        <v>4.49795534</v>
      </c>
      <c r="F152" s="43">
        <f>F146+6*(F156-F146)/10</f>
        <v>4.4989799999999995</v>
      </c>
      <c r="G152" s="100">
        <f>G146+6*(G156-G146)/10</f>
        <v>305.53999999999996</v>
      </c>
      <c r="H152" s="98">
        <f t="shared" si="9"/>
        <v>2326.46</v>
      </c>
      <c r="I152" s="100">
        <f>I146+6*(I156-I146)/10</f>
        <v>2632</v>
      </c>
      <c r="J152" s="225">
        <f t="shared" si="11"/>
        <v>73</v>
      </c>
      <c r="K152" s="19"/>
    </row>
    <row r="153" spans="2:11" ht="12.75">
      <c r="B153" s="111">
        <f t="shared" si="10"/>
        <v>73.5</v>
      </c>
      <c r="C153" s="44">
        <f>(C152+C154)/2</f>
        <v>0.362411</v>
      </c>
      <c r="D153" s="94">
        <f>D146+7*(D156-D146)/10</f>
        <v>0.00102497</v>
      </c>
      <c r="E153" s="96">
        <f t="shared" si="8"/>
        <v>4.40673503</v>
      </c>
      <c r="F153" s="43">
        <f>F146+7*(F156-F146)/10</f>
        <v>4.40776</v>
      </c>
      <c r="G153" s="100">
        <f>G146+7*(G156-G146)/10</f>
        <v>307.63</v>
      </c>
      <c r="H153" s="98">
        <f t="shared" si="9"/>
        <v>2325.22</v>
      </c>
      <c r="I153" s="100">
        <f>I146+7*(I156-I146)/10</f>
        <v>2632.85</v>
      </c>
      <c r="J153" s="225">
        <f t="shared" si="11"/>
        <v>73.5</v>
      </c>
      <c r="K153" s="19"/>
    </row>
    <row r="154" spans="2:11" ht="12.75">
      <c r="B154" s="111">
        <f t="shared" si="10"/>
        <v>74</v>
      </c>
      <c r="C154" s="46">
        <v>0.370063</v>
      </c>
      <c r="D154" s="94">
        <f>D146+8*(D156-D146)/10</f>
        <v>0.00102528</v>
      </c>
      <c r="E154" s="96">
        <f t="shared" si="8"/>
        <v>4.3155147199999995</v>
      </c>
      <c r="F154" s="43">
        <f>F146+8*(F156-F146)/10</f>
        <v>4.31654</v>
      </c>
      <c r="G154" s="100">
        <f>G146+8*(G156-G146)/10</f>
        <v>309.71999999999997</v>
      </c>
      <c r="H154" s="98">
        <f t="shared" si="9"/>
        <v>2323.9800000000005</v>
      </c>
      <c r="I154" s="100">
        <f>I146+8*(I156-I146)/10</f>
        <v>2633.7000000000003</v>
      </c>
      <c r="J154" s="225">
        <f t="shared" si="11"/>
        <v>74</v>
      </c>
      <c r="K154" s="19"/>
    </row>
    <row r="155" spans="2:11" ht="12.75">
      <c r="B155" s="111">
        <f t="shared" si="10"/>
        <v>74.5</v>
      </c>
      <c r="C155" s="44">
        <f>(C154+C156)/2</f>
        <v>0.3780015</v>
      </c>
      <c r="D155" s="94">
        <f>D146+9*(D156-D146)/10</f>
        <v>0.0010255899999999998</v>
      </c>
      <c r="E155" s="96">
        <f t="shared" si="8"/>
        <v>4.22429441</v>
      </c>
      <c r="F155" s="43">
        <f>F146+9*(F156-F146)/10</f>
        <v>4.22532</v>
      </c>
      <c r="G155" s="100">
        <f>G146+9*(G156-G146)/10</f>
        <v>311.81</v>
      </c>
      <c r="H155" s="98">
        <f t="shared" si="9"/>
        <v>2322.7400000000002</v>
      </c>
      <c r="I155" s="100">
        <f>I146+9*(I156-I146)/10</f>
        <v>2634.55</v>
      </c>
      <c r="J155" s="225">
        <f t="shared" si="11"/>
        <v>74.5</v>
      </c>
      <c r="K155" s="19"/>
    </row>
    <row r="156" spans="2:11" ht="12.75">
      <c r="B156" s="111">
        <f t="shared" si="10"/>
        <v>75</v>
      </c>
      <c r="C156" s="46">
        <v>0.38594</v>
      </c>
      <c r="D156" s="94">
        <v>0.0010259</v>
      </c>
      <c r="E156" s="96">
        <f t="shared" si="8"/>
        <v>4.1330741</v>
      </c>
      <c r="F156" s="46">
        <v>4.1341</v>
      </c>
      <c r="G156" s="100">
        <v>313.9</v>
      </c>
      <c r="H156" s="98">
        <f t="shared" si="9"/>
        <v>2321.5</v>
      </c>
      <c r="I156" s="100">
        <v>2635.4</v>
      </c>
      <c r="J156" s="225">
        <f t="shared" si="11"/>
        <v>75</v>
      </c>
      <c r="K156" s="19"/>
    </row>
    <row r="157" spans="2:11" ht="12.75">
      <c r="B157" s="111">
        <f t="shared" si="10"/>
        <v>75.5</v>
      </c>
      <c r="C157" s="44">
        <f>(C156+C158)/2</f>
        <v>0.39415449999999996</v>
      </c>
      <c r="D157" s="94">
        <f>D156+1*(D166-D156)/10</f>
        <v>0.00102623</v>
      </c>
      <c r="E157" s="96">
        <f t="shared" si="8"/>
        <v>4.06057377</v>
      </c>
      <c r="F157" s="43">
        <f>F156+1*(F166-F156)/10</f>
        <v>4.0616</v>
      </c>
      <c r="G157" s="100">
        <f>G156+1*(G166-G156)/10</f>
        <v>317</v>
      </c>
      <c r="H157" s="98">
        <f t="shared" si="9"/>
        <v>2319.2400000000002</v>
      </c>
      <c r="I157" s="100">
        <f>I156+1*(I166-I156)/10</f>
        <v>2636.2400000000002</v>
      </c>
      <c r="J157" s="225">
        <f t="shared" si="11"/>
        <v>75.5</v>
      </c>
      <c r="K157" s="19"/>
    </row>
    <row r="158" spans="2:11" ht="12.75">
      <c r="B158" s="111">
        <f t="shared" si="10"/>
        <v>76</v>
      </c>
      <c r="C158" s="46">
        <v>0.402369</v>
      </c>
      <c r="D158" s="94">
        <f>D156+2*(D166-D156)/10</f>
        <v>0.00102656</v>
      </c>
      <c r="E158" s="96">
        <f t="shared" si="8"/>
        <v>3.98807344</v>
      </c>
      <c r="F158" s="43">
        <f>F156+2*(F166-F156)/10</f>
        <v>3.9891</v>
      </c>
      <c r="G158" s="100">
        <f>G156+2*(G166-G156)/10</f>
        <v>320.09999999999997</v>
      </c>
      <c r="H158" s="98">
        <f t="shared" si="9"/>
        <v>2316.98</v>
      </c>
      <c r="I158" s="100">
        <f>I156+2*(I166-I156)/10</f>
        <v>2637.08</v>
      </c>
      <c r="J158" s="225">
        <f t="shared" si="11"/>
        <v>76</v>
      </c>
      <c r="K158" s="19"/>
    </row>
    <row r="159" spans="2:11" ht="12.75">
      <c r="B159" s="111">
        <f t="shared" si="10"/>
        <v>76.5</v>
      </c>
      <c r="C159" s="44">
        <f>(C158+C160)/2</f>
        <v>0.4108785</v>
      </c>
      <c r="D159" s="94">
        <f>D156+3*(D166-D156)/10</f>
        <v>0.00102689</v>
      </c>
      <c r="E159" s="96">
        <f t="shared" si="8"/>
        <v>3.91557311</v>
      </c>
      <c r="F159" s="43">
        <f>F156+3*(F166-F156)/10</f>
        <v>3.9166</v>
      </c>
      <c r="G159" s="100">
        <f>G156+3*(G166-G156)/10</f>
        <v>323.2</v>
      </c>
      <c r="H159" s="98">
        <f t="shared" si="9"/>
        <v>2314.7200000000003</v>
      </c>
      <c r="I159" s="100">
        <f>I156+3*(I166-I156)/10</f>
        <v>2637.92</v>
      </c>
      <c r="J159" s="225">
        <f t="shared" si="11"/>
        <v>76.5</v>
      </c>
      <c r="K159" s="19"/>
    </row>
    <row r="160" spans="2:11" ht="12.75">
      <c r="B160" s="111">
        <f t="shared" si="10"/>
        <v>77</v>
      </c>
      <c r="C160" s="46">
        <v>0.419388</v>
      </c>
      <c r="D160" s="94">
        <f>D156+4*(D166-D156)/10</f>
        <v>0.00102722</v>
      </c>
      <c r="E160" s="96">
        <f t="shared" si="8"/>
        <v>3.84307278</v>
      </c>
      <c r="F160" s="43">
        <f>F156+4*(F166-F156)/10</f>
        <v>3.8441</v>
      </c>
      <c r="G160" s="100">
        <f>G156+4*(G166-G156)/10</f>
        <v>326.29999999999995</v>
      </c>
      <c r="H160" s="98">
        <f t="shared" si="9"/>
        <v>2312.46</v>
      </c>
      <c r="I160" s="100">
        <f>I156+4*(I166-I156)/10</f>
        <v>2638.76</v>
      </c>
      <c r="J160" s="225">
        <f t="shared" si="11"/>
        <v>77</v>
      </c>
      <c r="K160" s="19"/>
    </row>
    <row r="161" spans="2:11" ht="12.75">
      <c r="B161" s="111">
        <f t="shared" si="10"/>
        <v>77.5</v>
      </c>
      <c r="C161" s="44">
        <f>(C160+C162)/2</f>
        <v>0.42820400000000003</v>
      </c>
      <c r="D161" s="94">
        <f>D156+5*(D166-D156)/10</f>
        <v>0.00102755</v>
      </c>
      <c r="E161" s="96">
        <f t="shared" si="8"/>
        <v>3.7705724500000004</v>
      </c>
      <c r="F161" s="43">
        <f>F156+5*(F166-F156)/10</f>
        <v>3.7716000000000003</v>
      </c>
      <c r="G161" s="100">
        <f>G156+5*(G166-G156)/10</f>
        <v>329.4</v>
      </c>
      <c r="H161" s="98">
        <f t="shared" si="9"/>
        <v>2310.2000000000003</v>
      </c>
      <c r="I161" s="100">
        <f>I156+5*(I166-I156)/10</f>
        <v>2639.6000000000004</v>
      </c>
      <c r="J161" s="225">
        <f t="shared" si="11"/>
        <v>77.5</v>
      </c>
      <c r="K161" s="19"/>
    </row>
    <row r="162" spans="2:11" ht="12.75">
      <c r="B162" s="111">
        <f t="shared" si="10"/>
        <v>78</v>
      </c>
      <c r="C162" s="46">
        <v>0.43702</v>
      </c>
      <c r="D162" s="94">
        <f>D156+6*(D166-D156)/10</f>
        <v>0.0010278800000000001</v>
      </c>
      <c r="E162" s="96">
        <f t="shared" si="8"/>
        <v>3.69807212</v>
      </c>
      <c r="F162" s="43">
        <f>F156+6*(F166-F156)/10</f>
        <v>3.6991</v>
      </c>
      <c r="G162" s="100">
        <f>G156+6*(G166-G156)/10</f>
        <v>332.5</v>
      </c>
      <c r="H162" s="98">
        <f t="shared" si="9"/>
        <v>2307.94</v>
      </c>
      <c r="I162" s="100">
        <f>I156+6*(I166-I156)/10</f>
        <v>2640.44</v>
      </c>
      <c r="J162" s="225">
        <f t="shared" si="11"/>
        <v>78</v>
      </c>
      <c r="K162" s="19"/>
    </row>
    <row r="163" spans="2:11" ht="12.75">
      <c r="B163" s="111">
        <f t="shared" si="10"/>
        <v>78.5</v>
      </c>
      <c r="C163" s="44">
        <f>(C162+C164)/2</f>
        <v>0.44613400000000003</v>
      </c>
      <c r="D163" s="94">
        <f>D156+7*(D166-D156)/10</f>
        <v>0.00102821</v>
      </c>
      <c r="E163" s="96">
        <f t="shared" si="8"/>
        <v>3.62557179</v>
      </c>
      <c r="F163" s="43">
        <f>F156+7*(F166-F156)/10</f>
        <v>3.6266</v>
      </c>
      <c r="G163" s="100">
        <f>G156+7*(G166-G156)/10</f>
        <v>335.59999999999997</v>
      </c>
      <c r="H163" s="98">
        <f t="shared" si="9"/>
        <v>2305.6800000000003</v>
      </c>
      <c r="I163" s="100">
        <f>I156+7*(I166-I156)/10</f>
        <v>2641.28</v>
      </c>
      <c r="J163" s="225">
        <f t="shared" si="11"/>
        <v>78.5</v>
      </c>
      <c r="K163" s="19"/>
    </row>
    <row r="164" spans="2:11" ht="12.75">
      <c r="B164" s="111">
        <f t="shared" si="10"/>
        <v>79</v>
      </c>
      <c r="C164" s="46">
        <v>0.455248</v>
      </c>
      <c r="D164" s="94">
        <f>D156+8*(D166-D156)/10</f>
        <v>0.00102854</v>
      </c>
      <c r="E164" s="96">
        <f t="shared" si="8"/>
        <v>3.55307146</v>
      </c>
      <c r="F164" s="43">
        <f>F156+8*(F166-F156)/10</f>
        <v>3.5541</v>
      </c>
      <c r="G164" s="100">
        <f>G156+8*(G166-G156)/10</f>
        <v>338.7</v>
      </c>
      <c r="H164" s="98">
        <f t="shared" si="9"/>
        <v>2303.4200000000005</v>
      </c>
      <c r="I164" s="100">
        <f>I156+8*(I166-I156)/10</f>
        <v>2642.1200000000003</v>
      </c>
      <c r="J164" s="225">
        <f t="shared" si="11"/>
        <v>79</v>
      </c>
      <c r="K164" s="19"/>
    </row>
    <row r="165" spans="2:11" ht="12.75">
      <c r="B165" s="111">
        <f t="shared" si="10"/>
        <v>79.5</v>
      </c>
      <c r="C165" s="44">
        <f>(C164+C166)/2</f>
        <v>0.4646915</v>
      </c>
      <c r="D165" s="94">
        <f>D156+9*(D166-D156)/10</f>
        <v>0.00102887</v>
      </c>
      <c r="E165" s="96">
        <f t="shared" si="8"/>
        <v>3.4805711300000004</v>
      </c>
      <c r="F165" s="43">
        <f>F156+9*(F166-F156)/10</f>
        <v>3.4816000000000003</v>
      </c>
      <c r="G165" s="100">
        <f>G156+9*(G166-G156)/10</f>
        <v>341.79999999999995</v>
      </c>
      <c r="H165" s="98">
        <f t="shared" si="9"/>
        <v>2301.16</v>
      </c>
      <c r="I165" s="100">
        <f>I156+9*(I166-I156)/10</f>
        <v>2642.96</v>
      </c>
      <c r="J165" s="225">
        <f t="shared" si="11"/>
        <v>79.5</v>
      </c>
      <c r="K165" s="19"/>
    </row>
    <row r="166" spans="2:11" ht="12.75">
      <c r="B166" s="111">
        <f t="shared" si="10"/>
        <v>80</v>
      </c>
      <c r="C166" s="46">
        <v>0.474135</v>
      </c>
      <c r="D166" s="94">
        <v>0.0010292</v>
      </c>
      <c r="E166" s="96">
        <f t="shared" si="8"/>
        <v>3.4080708</v>
      </c>
      <c r="F166" s="46">
        <v>3.4091</v>
      </c>
      <c r="G166" s="100">
        <v>344.9</v>
      </c>
      <c r="H166" s="98">
        <f t="shared" si="9"/>
        <v>2298.9</v>
      </c>
      <c r="I166" s="100">
        <v>2643.8</v>
      </c>
      <c r="J166" s="225">
        <f t="shared" si="11"/>
        <v>80</v>
      </c>
      <c r="K166" s="19"/>
    </row>
    <row r="167" spans="2:11" ht="12.75">
      <c r="B167" s="111">
        <f t="shared" si="10"/>
        <v>80.5</v>
      </c>
      <c r="C167" s="44">
        <f>(C166+C168)/2</f>
        <v>0.4839025</v>
      </c>
      <c r="D167" s="94">
        <f>D166+1*(D176-D166)/10</f>
        <v>0.00102954</v>
      </c>
      <c r="E167" s="96">
        <f t="shared" si="8"/>
        <v>3.3500404599999998</v>
      </c>
      <c r="F167" s="43">
        <f>F166+1*(F176-F166)/10</f>
        <v>3.35107</v>
      </c>
      <c r="G167" s="100">
        <f>G166+1*(G176-G166)/10</f>
        <v>346</v>
      </c>
      <c r="H167" s="98">
        <f t="shared" si="9"/>
        <v>2298.6200000000003</v>
      </c>
      <c r="I167" s="100">
        <f>I166+1*(I176-I166)/10</f>
        <v>2644.6200000000003</v>
      </c>
      <c r="J167" s="225">
        <f t="shared" si="11"/>
        <v>80.5</v>
      </c>
      <c r="K167" s="19"/>
    </row>
    <row r="168" spans="2:11" ht="12.75">
      <c r="B168" s="111">
        <f t="shared" si="10"/>
        <v>81</v>
      </c>
      <c r="C168" s="46">
        <v>0.49367</v>
      </c>
      <c r="D168" s="94">
        <f>D166+2*(D176-D166)/10</f>
        <v>0.0010298800000000002</v>
      </c>
      <c r="E168" s="96">
        <f t="shared" si="8"/>
        <v>3.29201012</v>
      </c>
      <c r="F168" s="43">
        <f>F166+2*(F176-F166)/10</f>
        <v>3.29304</v>
      </c>
      <c r="G168" s="100">
        <f>G166+2*(G176-G166)/10</f>
        <v>347.09999999999997</v>
      </c>
      <c r="H168" s="98">
        <f t="shared" si="9"/>
        <v>2298.34</v>
      </c>
      <c r="I168" s="100">
        <f>I166+2*(I176-I166)/10</f>
        <v>2645.44</v>
      </c>
      <c r="J168" s="225">
        <f t="shared" si="11"/>
        <v>81</v>
      </c>
      <c r="K168" s="19"/>
    </row>
    <row r="169" spans="2:11" ht="12.75">
      <c r="B169" s="111">
        <f t="shared" si="10"/>
        <v>81.5</v>
      </c>
      <c r="C169" s="44">
        <f>(C168+C170)/2</f>
        <v>0.503765</v>
      </c>
      <c r="D169" s="94">
        <f>D166+3*(D176-D166)/10</f>
        <v>0.00103022</v>
      </c>
      <c r="E169" s="96">
        <f t="shared" si="8"/>
        <v>3.23397978</v>
      </c>
      <c r="F169" s="43">
        <f>F166+3*(F176-F166)/10</f>
        <v>3.23501</v>
      </c>
      <c r="G169" s="100">
        <f>G166+3*(G176-G166)/10</f>
        <v>348.2</v>
      </c>
      <c r="H169" s="98">
        <f t="shared" si="9"/>
        <v>2298.0600000000004</v>
      </c>
      <c r="I169" s="100">
        <f>I166+3*(I176-I166)/10</f>
        <v>2646.26</v>
      </c>
      <c r="J169" s="225">
        <f t="shared" si="11"/>
        <v>81.5</v>
      </c>
      <c r="K169" s="19"/>
    </row>
    <row r="170" spans="2:11" ht="12.75">
      <c r="B170" s="111">
        <f t="shared" si="10"/>
        <v>82</v>
      </c>
      <c r="C170" s="43">
        <v>0.51386</v>
      </c>
      <c r="D170" s="94">
        <f>D166+4*(D176-D166)/10</f>
        <v>0.00103056</v>
      </c>
      <c r="E170" s="96">
        <f t="shared" si="8"/>
        <v>3.17594944</v>
      </c>
      <c r="F170" s="43">
        <f>F166+4*(F176-F166)/10</f>
        <v>3.17698</v>
      </c>
      <c r="G170" s="100">
        <f>G166+4*(G176-G166)/10</f>
        <v>349.29999999999995</v>
      </c>
      <c r="H170" s="98">
        <f t="shared" si="9"/>
        <v>2297.7799999999997</v>
      </c>
      <c r="I170" s="100">
        <f>I166+4*(I176-I166)/10</f>
        <v>2647.08</v>
      </c>
      <c r="J170" s="225">
        <f t="shared" si="11"/>
        <v>82</v>
      </c>
      <c r="K170" s="19"/>
    </row>
    <row r="171" spans="2:11" ht="12.75">
      <c r="B171" s="111">
        <f t="shared" si="10"/>
        <v>82.5</v>
      </c>
      <c r="C171" s="44">
        <f>(C170+C172)/2</f>
        <v>0.524303</v>
      </c>
      <c r="D171" s="94">
        <f>D166+5*(D176-D166)/10</f>
        <v>0.0010309</v>
      </c>
      <c r="E171" s="96">
        <f t="shared" si="8"/>
        <v>3.1179191</v>
      </c>
      <c r="F171" s="43">
        <f>F166+5*(F176-F166)/10</f>
        <v>3.11895</v>
      </c>
      <c r="G171" s="100">
        <f>G166+5*(G176-G166)/10</f>
        <v>350.4</v>
      </c>
      <c r="H171" s="98">
        <f t="shared" si="9"/>
        <v>2297.5</v>
      </c>
      <c r="I171" s="100">
        <f>I166+5*(I176-I166)/10</f>
        <v>2647.9</v>
      </c>
      <c r="J171" s="225">
        <f t="shared" si="11"/>
        <v>82.5</v>
      </c>
      <c r="K171" s="19"/>
    </row>
    <row r="172" spans="2:11" ht="12.75">
      <c r="B172" s="111">
        <f t="shared" si="10"/>
        <v>83</v>
      </c>
      <c r="C172" s="46">
        <v>0.534746</v>
      </c>
      <c r="D172" s="94">
        <f>D166+6*(D176-D166)/10</f>
        <v>0.00103124</v>
      </c>
      <c r="E172" s="96">
        <f t="shared" si="8"/>
        <v>3.05988876</v>
      </c>
      <c r="F172" s="43">
        <f>F166+6*(F176-F166)/10</f>
        <v>3.0609200000000003</v>
      </c>
      <c r="G172" s="100">
        <f>G166+6*(G176-G166)/10</f>
        <v>351.5</v>
      </c>
      <c r="H172" s="98">
        <f t="shared" si="9"/>
        <v>2297.2200000000003</v>
      </c>
      <c r="I172" s="100">
        <f>I166+6*(I176-I166)/10</f>
        <v>2648.7200000000003</v>
      </c>
      <c r="J172" s="225">
        <f t="shared" si="11"/>
        <v>83</v>
      </c>
      <c r="K172" s="19"/>
    </row>
    <row r="173" spans="2:11" ht="12.75">
      <c r="B173" s="111">
        <f t="shared" si="10"/>
        <v>83.5</v>
      </c>
      <c r="C173" s="44">
        <f>(C172+C174)/2</f>
        <v>0.5455415</v>
      </c>
      <c r="D173" s="94">
        <f>D166+7*(D176-D166)/10</f>
        <v>0.00103158</v>
      </c>
      <c r="E173" s="96">
        <f t="shared" si="8"/>
        <v>3.0018584200000005</v>
      </c>
      <c r="F173" s="43">
        <f>F166+7*(F176-F166)/10</f>
        <v>3.0028900000000003</v>
      </c>
      <c r="G173" s="100">
        <f>G166+7*(G176-G166)/10</f>
        <v>352.59999999999997</v>
      </c>
      <c r="H173" s="98">
        <f t="shared" si="9"/>
        <v>2296.94</v>
      </c>
      <c r="I173" s="100">
        <f>I166+7*(I176-I166)/10</f>
        <v>2649.54</v>
      </c>
      <c r="J173" s="225">
        <f t="shared" si="11"/>
        <v>83.5</v>
      </c>
      <c r="K173" s="19"/>
    </row>
    <row r="174" spans="2:11" ht="12.75">
      <c r="B174" s="111">
        <f t="shared" si="10"/>
        <v>84</v>
      </c>
      <c r="C174" s="46">
        <v>0.556337</v>
      </c>
      <c r="D174" s="94">
        <f>D166+8*(D176-D166)/10</f>
        <v>0.00103192</v>
      </c>
      <c r="E174" s="96">
        <f t="shared" si="8"/>
        <v>2.9438280800000003</v>
      </c>
      <c r="F174" s="43">
        <f>F166+8*(F176-F166)/10</f>
        <v>2.9448600000000003</v>
      </c>
      <c r="G174" s="100">
        <f>G166+8*(G176-G166)/10</f>
        <v>353.7</v>
      </c>
      <c r="H174" s="98">
        <f t="shared" si="9"/>
        <v>2296.6600000000003</v>
      </c>
      <c r="I174" s="100">
        <f>I166+8*(I176-I166)/10</f>
        <v>2650.36</v>
      </c>
      <c r="J174" s="225">
        <f t="shared" si="11"/>
        <v>84</v>
      </c>
      <c r="K174" s="19"/>
    </row>
    <row r="175" spans="2:11" ht="12.75">
      <c r="B175" s="111">
        <f t="shared" si="10"/>
        <v>84.5</v>
      </c>
      <c r="C175" s="44">
        <f>(C174+C176)/2</f>
        <v>0.5674975</v>
      </c>
      <c r="D175" s="94">
        <f>D166+9*(D176-D166)/10</f>
        <v>0.0010322600000000001</v>
      </c>
      <c r="E175" s="96">
        <f t="shared" si="8"/>
        <v>2.88579774</v>
      </c>
      <c r="F175" s="43">
        <f>F166+9*(F176-F166)/10</f>
        <v>2.8868300000000002</v>
      </c>
      <c r="G175" s="100">
        <f>G166+9*(G176-G166)/10</f>
        <v>354.79999999999995</v>
      </c>
      <c r="H175" s="98">
        <f t="shared" si="9"/>
        <v>2296.38</v>
      </c>
      <c r="I175" s="100">
        <f>I166+9*(I176-I166)/10</f>
        <v>2651.18</v>
      </c>
      <c r="J175" s="225">
        <f t="shared" si="11"/>
        <v>84.5</v>
      </c>
      <c r="K175" s="19"/>
    </row>
    <row r="176" spans="2:11" ht="12.75">
      <c r="B176" s="111">
        <f t="shared" si="10"/>
        <v>85</v>
      </c>
      <c r="C176" s="46">
        <v>0.578658</v>
      </c>
      <c r="D176" s="94">
        <v>0.0010326</v>
      </c>
      <c r="E176" s="96">
        <f t="shared" si="8"/>
        <v>2.8277674000000004</v>
      </c>
      <c r="F176" s="46">
        <v>2.8288</v>
      </c>
      <c r="G176" s="100">
        <v>355.9</v>
      </c>
      <c r="H176" s="98">
        <f t="shared" si="9"/>
        <v>2296.1</v>
      </c>
      <c r="I176" s="100">
        <v>2652</v>
      </c>
      <c r="J176" s="225">
        <f t="shared" si="11"/>
        <v>85</v>
      </c>
      <c r="K176" s="19"/>
    </row>
    <row r="177" spans="2:11" ht="12.75">
      <c r="B177" s="111">
        <f t="shared" si="10"/>
        <v>85.5</v>
      </c>
      <c r="C177" s="44">
        <f>(C176+C178)/2</f>
        <v>0.5901925</v>
      </c>
      <c r="D177" s="94">
        <f>D176+1*(D186-D176)/10</f>
        <v>0.0010329500000000001</v>
      </c>
      <c r="E177" s="96">
        <f t="shared" si="8"/>
        <v>2.7810170500000004</v>
      </c>
      <c r="F177" s="43">
        <f>F176+1*(F186-F176)/10</f>
        <v>2.7820500000000004</v>
      </c>
      <c r="G177" s="100">
        <f>G176+1*(G186-G176)/10</f>
        <v>358</v>
      </c>
      <c r="H177" s="98">
        <f t="shared" si="9"/>
        <v>2294.81</v>
      </c>
      <c r="I177" s="100">
        <f>I176+1*(I186-I176)/10</f>
        <v>2652.81</v>
      </c>
      <c r="J177" s="225">
        <f t="shared" si="11"/>
        <v>85.5</v>
      </c>
      <c r="K177" s="19"/>
    </row>
    <row r="178" spans="2:11" ht="12.75">
      <c r="B178" s="111">
        <f t="shared" si="10"/>
        <v>86</v>
      </c>
      <c r="C178" s="46">
        <v>0.601727</v>
      </c>
      <c r="D178" s="94">
        <f>D176+2*(D186-D176)/10</f>
        <v>0.0010333</v>
      </c>
      <c r="E178" s="96">
        <f t="shared" si="8"/>
        <v>2.7342667</v>
      </c>
      <c r="F178" s="43">
        <f>F176+2*(F186-F176)/10</f>
        <v>2.7353</v>
      </c>
      <c r="G178" s="100">
        <f>G176+2*(G186-G176)/10</f>
        <v>360.09999999999997</v>
      </c>
      <c r="H178" s="98">
        <f t="shared" si="9"/>
        <v>2293.52</v>
      </c>
      <c r="I178" s="100">
        <f>I176+2*(I186-I176)/10</f>
        <v>2653.62</v>
      </c>
      <c r="J178" s="225">
        <f t="shared" si="11"/>
        <v>86</v>
      </c>
      <c r="K178" s="19"/>
    </row>
    <row r="179" spans="2:11" ht="12.75">
      <c r="B179" s="111">
        <f t="shared" si="10"/>
        <v>86.5</v>
      </c>
      <c r="C179" s="44">
        <f>(C178+C180)/2</f>
        <v>0.6136355</v>
      </c>
      <c r="D179" s="94">
        <f>D176+3*(D186-D176)/10</f>
        <v>0.00103365</v>
      </c>
      <c r="E179" s="96">
        <f t="shared" si="8"/>
        <v>2.68751635</v>
      </c>
      <c r="F179" s="43">
        <f>F176+3*(F186-F176)/10</f>
        <v>2.68855</v>
      </c>
      <c r="G179" s="100">
        <f>G176+3*(G186-G176)/10</f>
        <v>362.2</v>
      </c>
      <c r="H179" s="98">
        <f t="shared" si="9"/>
        <v>2292.23</v>
      </c>
      <c r="I179" s="100">
        <f>I176+3*(I186-I176)/10</f>
        <v>2654.43</v>
      </c>
      <c r="J179" s="225">
        <f t="shared" si="11"/>
        <v>86.5</v>
      </c>
      <c r="K179" s="19"/>
    </row>
    <row r="180" spans="2:11" ht="12.75">
      <c r="B180" s="111">
        <f t="shared" si="10"/>
        <v>87</v>
      </c>
      <c r="C180" s="46">
        <v>0.625544</v>
      </c>
      <c r="D180" s="94">
        <f>D176+4*(D186-D176)/10</f>
        <v>0.001034</v>
      </c>
      <c r="E180" s="96">
        <f t="shared" si="8"/>
        <v>2.6407659999999997</v>
      </c>
      <c r="F180" s="43">
        <f>F176+4*(F186-F176)/10</f>
        <v>2.6418</v>
      </c>
      <c r="G180" s="100">
        <f>G176+4*(G186-G176)/10</f>
        <v>364.29999999999995</v>
      </c>
      <c r="H180" s="98">
        <f t="shared" si="9"/>
        <v>2290.9399999999996</v>
      </c>
      <c r="I180" s="100">
        <f>I176+4*(I186-I176)/10</f>
        <v>2655.24</v>
      </c>
      <c r="J180" s="225">
        <f t="shared" si="11"/>
        <v>87</v>
      </c>
      <c r="K180" s="19"/>
    </row>
    <row r="181" spans="2:11" ht="12.75">
      <c r="B181" s="111">
        <f t="shared" si="10"/>
        <v>87.5</v>
      </c>
      <c r="C181" s="44">
        <f>(C180+C182)/2</f>
        <v>0.6378550000000001</v>
      </c>
      <c r="D181" s="94">
        <f>D176+5*(D186-D176)/10</f>
        <v>0.00103435</v>
      </c>
      <c r="E181" s="96">
        <f t="shared" si="8"/>
        <v>2.5940156500000002</v>
      </c>
      <c r="F181" s="43">
        <f>F176+5*(F186-F176)/10</f>
        <v>2.59505</v>
      </c>
      <c r="G181" s="100">
        <f>G176+5*(G186-G176)/10</f>
        <v>366.4</v>
      </c>
      <c r="H181" s="98">
        <f t="shared" si="9"/>
        <v>2289.65</v>
      </c>
      <c r="I181" s="100">
        <f>I176+5*(I186-I176)/10</f>
        <v>2656.05</v>
      </c>
      <c r="J181" s="225">
        <f t="shared" si="11"/>
        <v>87.5</v>
      </c>
      <c r="K181" s="19"/>
    </row>
    <row r="182" spans="2:11" ht="12.75">
      <c r="B182" s="111">
        <f t="shared" si="10"/>
        <v>88</v>
      </c>
      <c r="C182" s="46">
        <v>0.650166</v>
      </c>
      <c r="D182" s="94">
        <f>D176+6*(D186-D176)/10</f>
        <v>0.0010347000000000002</v>
      </c>
      <c r="E182" s="96">
        <f t="shared" si="8"/>
        <v>2.5472653000000003</v>
      </c>
      <c r="F182" s="43">
        <f>F176+6*(F186-F176)/10</f>
        <v>2.5483000000000002</v>
      </c>
      <c r="G182" s="100">
        <f>G176+6*(G186-G176)/10</f>
        <v>368.5</v>
      </c>
      <c r="H182" s="98">
        <f t="shared" si="9"/>
        <v>2288.36</v>
      </c>
      <c r="I182" s="100">
        <f>I176+6*(I186-I176)/10</f>
        <v>2656.86</v>
      </c>
      <c r="J182" s="225">
        <f t="shared" si="11"/>
        <v>88</v>
      </c>
      <c r="K182" s="19"/>
    </row>
    <row r="183" spans="2:11" ht="12.75">
      <c r="B183" s="111">
        <f t="shared" si="10"/>
        <v>88.5</v>
      </c>
      <c r="C183" s="44">
        <f>(C182+C184)/2</f>
        <v>0.6628735</v>
      </c>
      <c r="D183" s="94">
        <f>D176+7*(D186-D176)/10</f>
        <v>0.00103505</v>
      </c>
      <c r="E183" s="96">
        <f t="shared" si="8"/>
        <v>2.50051495</v>
      </c>
      <c r="F183" s="43">
        <f>F176+7*(F186-F176)/10</f>
        <v>2.50155</v>
      </c>
      <c r="G183" s="100">
        <f>G176+7*(G186-G176)/10</f>
        <v>370.59999999999997</v>
      </c>
      <c r="H183" s="98">
        <f t="shared" si="9"/>
        <v>2287.07</v>
      </c>
      <c r="I183" s="100">
        <f>I176+7*(I186-I176)/10</f>
        <v>2657.67</v>
      </c>
      <c r="J183" s="225">
        <f t="shared" si="11"/>
        <v>88.5</v>
      </c>
      <c r="K183" s="19"/>
    </row>
    <row r="184" spans="2:11" ht="12.75">
      <c r="B184" s="111">
        <f t="shared" si="10"/>
        <v>89</v>
      </c>
      <c r="C184" s="46">
        <v>0.675581</v>
      </c>
      <c r="D184" s="94">
        <f>D176+8*(D186-D176)/10</f>
        <v>0.0010354000000000001</v>
      </c>
      <c r="E184" s="96">
        <f t="shared" si="8"/>
        <v>2.4537646</v>
      </c>
      <c r="F184" s="43">
        <f>F176+8*(F186-F176)/10</f>
        <v>2.4548</v>
      </c>
      <c r="G184" s="100">
        <f>G176+8*(G186-G176)/10</f>
        <v>372.7</v>
      </c>
      <c r="H184" s="98">
        <f t="shared" si="9"/>
        <v>2285.78</v>
      </c>
      <c r="I184" s="100">
        <f>I176+8*(I186-I176)/10</f>
        <v>2658.48</v>
      </c>
      <c r="J184" s="225">
        <f t="shared" si="11"/>
        <v>89</v>
      </c>
      <c r="K184" s="19"/>
    </row>
    <row r="185" spans="2:11" ht="12.75">
      <c r="B185" s="111">
        <f t="shared" si="10"/>
        <v>89.5</v>
      </c>
      <c r="C185" s="44">
        <f>(C184+C186)/2</f>
        <v>0.688699</v>
      </c>
      <c r="D185" s="94">
        <f>D176+9*(D186-D176)/10</f>
        <v>0.00103575</v>
      </c>
      <c r="E185" s="96">
        <f t="shared" si="8"/>
        <v>2.40701425</v>
      </c>
      <c r="F185" s="43">
        <f>F176+9*(F186-F176)/10</f>
        <v>2.40805</v>
      </c>
      <c r="G185" s="100">
        <f>G176+9*(G186-G176)/10</f>
        <v>374.79999999999995</v>
      </c>
      <c r="H185" s="98">
        <f t="shared" si="9"/>
        <v>2284.49</v>
      </c>
      <c r="I185" s="100">
        <f>I176+9*(I186-I176)/10</f>
        <v>2659.29</v>
      </c>
      <c r="J185" s="225">
        <f t="shared" si="11"/>
        <v>89.5</v>
      </c>
      <c r="K185" s="19"/>
    </row>
    <row r="186" spans="2:11" ht="12.75">
      <c r="B186" s="111">
        <f t="shared" si="10"/>
        <v>90</v>
      </c>
      <c r="C186" s="46">
        <v>0.701817</v>
      </c>
      <c r="D186" s="94">
        <v>0.0010361</v>
      </c>
      <c r="E186" s="96">
        <f t="shared" si="8"/>
        <v>2.3602639</v>
      </c>
      <c r="F186" s="46">
        <v>2.3613</v>
      </c>
      <c r="G186" s="100">
        <v>376.9</v>
      </c>
      <c r="H186" s="98">
        <f t="shared" si="9"/>
        <v>2283.2</v>
      </c>
      <c r="I186" s="100">
        <v>2660.1</v>
      </c>
      <c r="J186" s="225">
        <f t="shared" si="11"/>
        <v>90</v>
      </c>
      <c r="K186" s="19"/>
    </row>
    <row r="187" spans="2:11" ht="12.75">
      <c r="B187" s="111">
        <f t="shared" si="10"/>
        <v>90.5</v>
      </c>
      <c r="C187" s="43">
        <f>C186+1*(C196-C186)/10</f>
        <v>0.7161613</v>
      </c>
      <c r="D187" s="94">
        <f>D186+1*(D196-D186)/10</f>
        <v>0.00103648</v>
      </c>
      <c r="E187" s="96">
        <f t="shared" si="8"/>
        <v>2.32235352</v>
      </c>
      <c r="F187" s="43">
        <f>F186+1*(F196-F186)/10</f>
        <v>2.32339</v>
      </c>
      <c r="G187" s="100">
        <f>G186+1*(G196-G186)/10</f>
        <v>379.01</v>
      </c>
      <c r="H187" s="98">
        <f t="shared" si="9"/>
        <v>2281.8900000000003</v>
      </c>
      <c r="I187" s="100">
        <f>I186+1*(I196-I186)/10</f>
        <v>2660.9</v>
      </c>
      <c r="J187" s="225">
        <f t="shared" si="11"/>
        <v>90.5</v>
      </c>
      <c r="K187" s="19"/>
    </row>
    <row r="188" spans="2:11" ht="12.75">
      <c r="B188" s="111">
        <f t="shared" si="10"/>
        <v>91</v>
      </c>
      <c r="C188" s="43">
        <f>C186+2*(C196-C186)/10</f>
        <v>0.7305056</v>
      </c>
      <c r="D188" s="94">
        <f>D186+2*(D196-D186)/10</f>
        <v>0.0010368600000000001</v>
      </c>
      <c r="E188" s="96">
        <f t="shared" si="8"/>
        <v>2.2844431399999996</v>
      </c>
      <c r="F188" s="43">
        <f>F186+2*(F196-F186)/10</f>
        <v>2.2854799999999997</v>
      </c>
      <c r="G188" s="100">
        <f>G186+2*(G196-G186)/10</f>
        <v>381.12</v>
      </c>
      <c r="H188" s="98">
        <f t="shared" si="9"/>
        <v>2280.58</v>
      </c>
      <c r="I188" s="100">
        <f>I186+2*(I196-I186)/10</f>
        <v>2661.7</v>
      </c>
      <c r="J188" s="225">
        <f t="shared" si="11"/>
        <v>91</v>
      </c>
      <c r="K188" s="19"/>
    </row>
    <row r="189" spans="2:11" ht="12.75">
      <c r="B189" s="111">
        <f t="shared" si="10"/>
        <v>91.5</v>
      </c>
      <c r="C189" s="43">
        <f>C186+3*(C196-C186)/10</f>
        <v>0.7448499000000001</v>
      </c>
      <c r="D189" s="94">
        <f>D186+3*(D196-D186)/10</f>
        <v>0.00103724</v>
      </c>
      <c r="E189" s="96">
        <f t="shared" si="8"/>
        <v>2.24653276</v>
      </c>
      <c r="F189" s="43">
        <f>F186+3*(F196-F186)/10</f>
        <v>2.24757</v>
      </c>
      <c r="G189" s="100">
        <f>G186+3*(G196-G186)/10</f>
        <v>383.22999999999996</v>
      </c>
      <c r="H189" s="98">
        <f t="shared" si="9"/>
        <v>2279.27</v>
      </c>
      <c r="I189" s="100">
        <f>I186+3*(I196-I186)/10</f>
        <v>2662.5</v>
      </c>
      <c r="J189" s="225">
        <f t="shared" si="11"/>
        <v>91.5</v>
      </c>
      <c r="K189" s="19"/>
    </row>
    <row r="190" spans="2:11" ht="12.75">
      <c r="B190" s="111">
        <f t="shared" si="10"/>
        <v>92</v>
      </c>
      <c r="C190" s="43">
        <f>C186+4*(C196-C186)/10</f>
        <v>0.7591942</v>
      </c>
      <c r="D190" s="94">
        <f>D186+4*(D196-D186)/10</f>
        <v>0.0010376200000000002</v>
      </c>
      <c r="E190" s="96">
        <f t="shared" si="8"/>
        <v>2.20862238</v>
      </c>
      <c r="F190" s="43">
        <f>F186+4*(F196-F186)/10</f>
        <v>2.20966</v>
      </c>
      <c r="G190" s="100">
        <f>G186+4*(G196-G186)/10</f>
        <v>385.34</v>
      </c>
      <c r="H190" s="98">
        <f t="shared" si="9"/>
        <v>2277.9599999999996</v>
      </c>
      <c r="I190" s="100">
        <f>I186+4*(I196-I186)/10</f>
        <v>2663.2999999999997</v>
      </c>
      <c r="J190" s="225">
        <f t="shared" si="11"/>
        <v>92</v>
      </c>
      <c r="K190" s="19"/>
    </row>
    <row r="191" spans="2:11" ht="12.75">
      <c r="B191" s="111">
        <f t="shared" si="10"/>
        <v>92.5</v>
      </c>
      <c r="C191" s="43">
        <f>C186+5*(C196-C186)/10</f>
        <v>0.7735385</v>
      </c>
      <c r="D191" s="94">
        <f>D186+5*(D196-D186)/10</f>
        <v>0.001038</v>
      </c>
      <c r="E191" s="96">
        <f t="shared" si="8"/>
        <v>2.170712</v>
      </c>
      <c r="F191" s="43">
        <f>F186+5*(F196-F186)/10</f>
        <v>2.17175</v>
      </c>
      <c r="G191" s="100">
        <f>G186+5*(G196-G186)/10</f>
        <v>387.45</v>
      </c>
      <c r="H191" s="98">
        <f t="shared" si="9"/>
        <v>2276.65</v>
      </c>
      <c r="I191" s="100">
        <f>I186+5*(I196-I186)/10</f>
        <v>2664.1</v>
      </c>
      <c r="J191" s="225">
        <f t="shared" si="11"/>
        <v>92.5</v>
      </c>
      <c r="K191" s="19"/>
    </row>
    <row r="192" spans="2:11" ht="12.75">
      <c r="B192" s="111">
        <f t="shared" si="10"/>
        <v>93</v>
      </c>
      <c r="C192" s="43">
        <f>C186+6*(C196-C186)/10</f>
        <v>0.7878828</v>
      </c>
      <c r="D192" s="94">
        <f>D186+6*(D196-D186)/10</f>
        <v>0.00103838</v>
      </c>
      <c r="E192" s="96">
        <f t="shared" si="8"/>
        <v>2.1328016200000004</v>
      </c>
      <c r="F192" s="43">
        <f>F186+6*(F196-F186)/10</f>
        <v>2.13384</v>
      </c>
      <c r="G192" s="100">
        <f>G186+6*(G196-G186)/10</f>
        <v>389.56</v>
      </c>
      <c r="H192" s="98">
        <f t="shared" si="9"/>
        <v>2275.34</v>
      </c>
      <c r="I192" s="100">
        <f>I186+6*(I196-I186)/10</f>
        <v>2664.9</v>
      </c>
      <c r="J192" s="225">
        <f t="shared" si="11"/>
        <v>93</v>
      </c>
      <c r="K192" s="19"/>
    </row>
    <row r="193" spans="2:11" ht="12.75">
      <c r="B193" s="111">
        <f t="shared" si="10"/>
        <v>93.5</v>
      </c>
      <c r="C193" s="43">
        <f>C186+7*(C196-C186)/10</f>
        <v>0.8022271</v>
      </c>
      <c r="D193" s="94">
        <f>D186+7*(D196-D186)/10</f>
        <v>0.0010387600000000001</v>
      </c>
      <c r="E193" s="96">
        <f t="shared" si="8"/>
        <v>2.09489124</v>
      </c>
      <c r="F193" s="43">
        <f>F186+7*(F196-F186)/10</f>
        <v>2.09593</v>
      </c>
      <c r="G193" s="100">
        <f>G186+7*(G196-G186)/10</f>
        <v>391.67</v>
      </c>
      <c r="H193" s="98">
        <f t="shared" si="9"/>
        <v>2274.0299999999997</v>
      </c>
      <c r="I193" s="100">
        <f>I186+7*(I196-I186)/10</f>
        <v>2665.7</v>
      </c>
      <c r="J193" s="225">
        <f t="shared" si="11"/>
        <v>93.5</v>
      </c>
      <c r="K193" s="19"/>
    </row>
    <row r="194" spans="2:11" ht="12.75">
      <c r="B194" s="111">
        <f t="shared" si="10"/>
        <v>94</v>
      </c>
      <c r="C194" s="43">
        <f>C186+8*(C196-C186)/10</f>
        <v>0.8165714000000001</v>
      </c>
      <c r="D194" s="94">
        <f>D186+8*(D196-D186)/10</f>
        <v>0.00103914</v>
      </c>
      <c r="E194" s="96">
        <f t="shared" si="8"/>
        <v>2.05698086</v>
      </c>
      <c r="F194" s="43">
        <f>F186+8*(F196-F186)/10</f>
        <v>2.05802</v>
      </c>
      <c r="G194" s="100">
        <f>G186+8*(G196-G186)/10</f>
        <v>393.78</v>
      </c>
      <c r="H194" s="98">
        <f t="shared" si="9"/>
        <v>2272.7200000000003</v>
      </c>
      <c r="I194" s="100">
        <f>I186+8*(I196-I186)/10</f>
        <v>2666.5</v>
      </c>
      <c r="J194" s="225">
        <f t="shared" si="11"/>
        <v>94</v>
      </c>
      <c r="K194" s="19"/>
    </row>
    <row r="195" spans="2:11" ht="12.75">
      <c r="B195" s="111">
        <f t="shared" si="10"/>
        <v>94.5</v>
      </c>
      <c r="C195" s="43">
        <f>C186+9*(C196-C186)/10</f>
        <v>0.8309157</v>
      </c>
      <c r="D195" s="94">
        <f>D186+9*(D196-D186)/10</f>
        <v>0.0010395200000000002</v>
      </c>
      <c r="E195" s="96">
        <f t="shared" si="8"/>
        <v>2.01907048</v>
      </c>
      <c r="F195" s="43">
        <f>F186+9*(F196-F186)/10</f>
        <v>2.02011</v>
      </c>
      <c r="G195" s="100">
        <f>G186+9*(G196-G186)/10</f>
        <v>395.89</v>
      </c>
      <c r="H195" s="98">
        <f t="shared" si="9"/>
        <v>2271.41</v>
      </c>
      <c r="I195" s="100">
        <f>I186+9*(I196-I186)/10</f>
        <v>2667.2999999999997</v>
      </c>
      <c r="J195" s="225">
        <f t="shared" si="11"/>
        <v>94.5</v>
      </c>
      <c r="K195" s="19"/>
    </row>
    <row r="196" spans="2:11" ht="12.75">
      <c r="B196" s="111">
        <f t="shared" si="10"/>
        <v>95</v>
      </c>
      <c r="C196" s="43">
        <v>0.84526</v>
      </c>
      <c r="D196" s="94">
        <v>0.0010399</v>
      </c>
      <c r="E196" s="96">
        <f t="shared" si="8"/>
        <v>1.9811600999999999</v>
      </c>
      <c r="F196" s="43">
        <v>1.9822</v>
      </c>
      <c r="G196" s="100">
        <v>398</v>
      </c>
      <c r="H196" s="98">
        <f t="shared" si="9"/>
        <v>2270.1</v>
      </c>
      <c r="I196" s="100">
        <v>2668.1</v>
      </c>
      <c r="J196" s="225">
        <f t="shared" si="11"/>
        <v>95</v>
      </c>
      <c r="K196" s="19"/>
    </row>
    <row r="197" spans="2:11" ht="12.75">
      <c r="B197" s="111">
        <f t="shared" si="10"/>
        <v>95.5</v>
      </c>
      <c r="C197" s="43">
        <f>C196+1*(C206-C196)/10</f>
        <v>0.862059</v>
      </c>
      <c r="D197" s="94">
        <f>D196+1*(D206-D196)/10</f>
        <v>0.00104028</v>
      </c>
      <c r="E197" s="96">
        <f t="shared" si="8"/>
        <v>1.95023972</v>
      </c>
      <c r="F197" s="43">
        <f>F196+1*(F206-F196)/10</f>
        <v>1.95128</v>
      </c>
      <c r="G197" s="100">
        <f>G196+1*(G206-G196)/10</f>
        <v>400.12</v>
      </c>
      <c r="H197" s="98">
        <f t="shared" si="9"/>
        <v>2268.77</v>
      </c>
      <c r="I197" s="100">
        <f>I196+1*(I206-I196)/10</f>
        <v>2668.89</v>
      </c>
      <c r="J197" s="225">
        <f t="shared" si="11"/>
        <v>95.5</v>
      </c>
      <c r="K197" s="19"/>
    </row>
    <row r="198" spans="2:11" ht="12.75">
      <c r="B198" s="111">
        <f t="shared" si="10"/>
        <v>96</v>
      </c>
      <c r="C198" s="43">
        <f>C196+2*(C206-C196)/10</f>
        <v>0.878858</v>
      </c>
      <c r="D198" s="94">
        <f>D196+2*(D206-D196)/10</f>
        <v>0.0010406600000000001</v>
      </c>
      <c r="E198" s="96">
        <f t="shared" si="8"/>
        <v>1.9193193400000002</v>
      </c>
      <c r="F198" s="43">
        <f>F196+2*(F206-F196)/10</f>
        <v>1.92036</v>
      </c>
      <c r="G198" s="100">
        <f>G196+2*(G206-G196)/10</f>
        <v>402.24</v>
      </c>
      <c r="H198" s="98">
        <f t="shared" si="9"/>
        <v>2267.4399999999996</v>
      </c>
      <c r="I198" s="100">
        <f>I196+2*(I206-I196)/10</f>
        <v>2669.68</v>
      </c>
      <c r="J198" s="225">
        <f t="shared" si="11"/>
        <v>96</v>
      </c>
      <c r="K198" s="19"/>
    </row>
    <row r="199" spans="2:11" ht="12.75">
      <c r="B199" s="111">
        <f t="shared" si="10"/>
        <v>96.5</v>
      </c>
      <c r="C199" s="43">
        <f>C196+3*(C206-C196)/10</f>
        <v>0.895657</v>
      </c>
      <c r="D199" s="94">
        <f>D196+3*(D206-D196)/10</f>
        <v>0.00104104</v>
      </c>
      <c r="E199" s="96">
        <f aca="true" t="shared" si="12" ref="E199:E262">F199-D199</f>
        <v>1.88839896</v>
      </c>
      <c r="F199" s="43">
        <f>F196+3*(F206-F196)/10</f>
        <v>1.88944</v>
      </c>
      <c r="G199" s="100">
        <f>G196+3*(G206-G196)/10</f>
        <v>404.36</v>
      </c>
      <c r="H199" s="98">
        <f aca="true" t="shared" si="13" ref="H199:H262">I199-G199</f>
        <v>2266.1099999999997</v>
      </c>
      <c r="I199" s="100">
        <f>I196+3*(I206-I196)/10</f>
        <v>2670.47</v>
      </c>
      <c r="J199" s="225">
        <f t="shared" si="11"/>
        <v>96.5</v>
      </c>
      <c r="K199" s="19"/>
    </row>
    <row r="200" spans="2:11" ht="12.75">
      <c r="B200" s="111">
        <f aca="true" t="shared" si="14" ref="B200:B263">B199+0.5</f>
        <v>97</v>
      </c>
      <c r="C200" s="43">
        <f>C196+4*(C206-C196)/10</f>
        <v>0.912456</v>
      </c>
      <c r="D200" s="94">
        <f>D196+4*(D206-D196)/10</f>
        <v>0.0010414200000000001</v>
      </c>
      <c r="E200" s="96">
        <f t="shared" si="12"/>
        <v>1.85747858</v>
      </c>
      <c r="F200" s="43">
        <f>F196+4*(F206-F196)/10</f>
        <v>1.85852</v>
      </c>
      <c r="G200" s="100">
        <f>G196+4*(G206-G196)/10</f>
        <v>406.48</v>
      </c>
      <c r="H200" s="98">
        <f t="shared" si="13"/>
        <v>2264.7799999999997</v>
      </c>
      <c r="I200" s="100">
        <f>I196+4*(I206-I196)/10</f>
        <v>2671.2599999999998</v>
      </c>
      <c r="J200" s="225">
        <f aca="true" t="shared" si="15" ref="J200:J263">J199+0.5</f>
        <v>97</v>
      </c>
      <c r="K200" s="19"/>
    </row>
    <row r="201" spans="2:11" ht="12.75">
      <c r="B201" s="111">
        <f t="shared" si="14"/>
        <v>97.5</v>
      </c>
      <c r="C201" s="43">
        <f>C196+5*(C206-C196)/10</f>
        <v>0.9292549999999999</v>
      </c>
      <c r="D201" s="94">
        <f>D196+5*(D206-D196)/10</f>
        <v>0.0010418</v>
      </c>
      <c r="E201" s="96">
        <f t="shared" si="12"/>
        <v>1.8265581999999998</v>
      </c>
      <c r="F201" s="43">
        <f>F196+5*(F206-F196)/10</f>
        <v>1.8276</v>
      </c>
      <c r="G201" s="100">
        <f>G196+5*(G206-G196)/10</f>
        <v>408.6</v>
      </c>
      <c r="H201" s="98">
        <f t="shared" si="13"/>
        <v>2263.4500000000003</v>
      </c>
      <c r="I201" s="100">
        <f>I196+5*(I206-I196)/10</f>
        <v>2672.05</v>
      </c>
      <c r="J201" s="225">
        <f t="shared" si="15"/>
        <v>97.5</v>
      </c>
      <c r="K201" s="19"/>
    </row>
    <row r="202" spans="2:11" ht="12.75">
      <c r="B202" s="111">
        <f t="shared" si="14"/>
        <v>98</v>
      </c>
      <c r="C202" s="43">
        <f>C196+6*(C206-C196)/10</f>
        <v>0.946054</v>
      </c>
      <c r="D202" s="94">
        <f>D196+6*(D206-D196)/10</f>
        <v>0.00104218</v>
      </c>
      <c r="E202" s="96">
        <f t="shared" si="12"/>
        <v>1.79563782</v>
      </c>
      <c r="F202" s="43">
        <f>F196+6*(F206-F196)/10</f>
        <v>1.79668</v>
      </c>
      <c r="G202" s="100">
        <f>G196+6*(G206-G196)/10</f>
        <v>410.71999999999997</v>
      </c>
      <c r="H202" s="98">
        <f t="shared" si="13"/>
        <v>2262.1200000000003</v>
      </c>
      <c r="I202" s="100">
        <f>I196+6*(I206-I196)/10</f>
        <v>2672.84</v>
      </c>
      <c r="J202" s="225">
        <f t="shared" si="15"/>
        <v>98</v>
      </c>
      <c r="K202" s="19"/>
    </row>
    <row r="203" spans="2:11" ht="12.75">
      <c r="B203" s="111">
        <f t="shared" si="14"/>
        <v>98.5</v>
      </c>
      <c r="C203" s="43">
        <f>C196+7*(C206-C196)/10</f>
        <v>0.962853</v>
      </c>
      <c r="D203" s="94">
        <f>D196+7*(D206-D196)/10</f>
        <v>0.00104256</v>
      </c>
      <c r="E203" s="96">
        <f t="shared" si="12"/>
        <v>1.76471744</v>
      </c>
      <c r="F203" s="43">
        <f>F196+7*(F206-F196)/10</f>
        <v>1.76576</v>
      </c>
      <c r="G203" s="100">
        <f>G196+7*(G206-G196)/10</f>
        <v>412.84</v>
      </c>
      <c r="H203" s="98">
        <f t="shared" si="13"/>
        <v>2260.79</v>
      </c>
      <c r="I203" s="100">
        <f>I196+7*(I206-I196)/10</f>
        <v>2673.63</v>
      </c>
      <c r="J203" s="225">
        <f t="shared" si="15"/>
        <v>98.5</v>
      </c>
      <c r="K203" s="19"/>
    </row>
    <row r="204" spans="2:11" ht="12.75">
      <c r="B204" s="111">
        <f t="shared" si="14"/>
        <v>99</v>
      </c>
      <c r="C204" s="43">
        <f>C196+8*(C206-C196)/10</f>
        <v>0.979652</v>
      </c>
      <c r="D204" s="94">
        <f>D196+8*(D206-D196)/10</f>
        <v>0.00104294</v>
      </c>
      <c r="E204" s="96">
        <f t="shared" si="12"/>
        <v>1.73379706</v>
      </c>
      <c r="F204" s="43">
        <f>F196+8*(F206-F196)/10</f>
        <v>1.73484</v>
      </c>
      <c r="G204" s="100">
        <f>G196+8*(G206-G196)/10</f>
        <v>414.96</v>
      </c>
      <c r="H204" s="98">
        <f t="shared" si="13"/>
        <v>2259.46</v>
      </c>
      <c r="I204" s="100">
        <f>I196+8*(I206-I196)/10</f>
        <v>2674.42</v>
      </c>
      <c r="J204" s="225">
        <f t="shared" si="15"/>
        <v>99</v>
      </c>
      <c r="K204" s="19"/>
    </row>
    <row r="205" spans="2:11" ht="12.75">
      <c r="B205" s="111">
        <f t="shared" si="14"/>
        <v>99.5</v>
      </c>
      <c r="C205" s="43">
        <f>C196+9*(C206-C196)/10</f>
        <v>0.996451</v>
      </c>
      <c r="D205" s="94">
        <f>D196+9*(D206-D196)/10</f>
        <v>0.0010433200000000001</v>
      </c>
      <c r="E205" s="96">
        <f t="shared" si="12"/>
        <v>1.7028766800000001</v>
      </c>
      <c r="F205" s="43">
        <f>F196+9*(F206-F196)/10</f>
        <v>1.70392</v>
      </c>
      <c r="G205" s="100">
        <f>G196+9*(G206-G196)/10</f>
        <v>417.08</v>
      </c>
      <c r="H205" s="98">
        <f t="shared" si="13"/>
        <v>2258.13</v>
      </c>
      <c r="I205" s="100">
        <f>I196+9*(I206-I196)/10</f>
        <v>2675.21</v>
      </c>
      <c r="J205" s="225">
        <f t="shared" si="15"/>
        <v>99.5</v>
      </c>
      <c r="K205" s="19"/>
    </row>
    <row r="206" spans="2:11" ht="12.75">
      <c r="B206" s="111">
        <f t="shared" si="14"/>
        <v>100</v>
      </c>
      <c r="C206" s="43">
        <v>1.01325</v>
      </c>
      <c r="D206" s="94">
        <v>0.0010437</v>
      </c>
      <c r="E206" s="96">
        <f t="shared" si="12"/>
        <v>1.6719563</v>
      </c>
      <c r="F206" s="43">
        <v>1.673</v>
      </c>
      <c r="G206" s="100">
        <v>419.2</v>
      </c>
      <c r="H206" s="98">
        <f t="shared" si="13"/>
        <v>2256.8</v>
      </c>
      <c r="I206" s="100">
        <v>2676</v>
      </c>
      <c r="J206" s="225">
        <f t="shared" si="15"/>
        <v>100</v>
      </c>
      <c r="K206" s="19"/>
    </row>
    <row r="207" spans="2:11" ht="12.75">
      <c r="B207" s="111">
        <f t="shared" si="14"/>
        <v>100.5</v>
      </c>
      <c r="C207" s="43">
        <f>C206+1*(C216-C206)/10</f>
        <v>1.032725</v>
      </c>
      <c r="D207" s="94">
        <f>D206+1*(D216-D206)/10</f>
        <v>0.0010441</v>
      </c>
      <c r="E207" s="96">
        <f t="shared" si="12"/>
        <v>1.6465858999999998</v>
      </c>
      <c r="F207" s="43">
        <f>F206+1*(F216-F206)/10</f>
        <v>1.64763</v>
      </c>
      <c r="G207" s="100">
        <f>G206+1*(G216-G206)/10</f>
        <v>421.3</v>
      </c>
      <c r="H207" s="98">
        <f t="shared" si="13"/>
        <v>2255.47</v>
      </c>
      <c r="I207" s="100">
        <f>I206+1*(I216-I206)/10</f>
        <v>2676.77</v>
      </c>
      <c r="J207" s="225">
        <f t="shared" si="15"/>
        <v>100.5</v>
      </c>
      <c r="K207" s="19"/>
    </row>
    <row r="208" spans="2:11" ht="12.75">
      <c r="B208" s="111">
        <f t="shared" si="14"/>
        <v>101</v>
      </c>
      <c r="C208" s="43">
        <f>C206+2*(C216-C206)/10</f>
        <v>1.0522</v>
      </c>
      <c r="D208" s="94">
        <f>D206+2*(D216-D206)/10</f>
        <v>0.0010445</v>
      </c>
      <c r="E208" s="96">
        <f t="shared" si="12"/>
        <v>1.6212155000000001</v>
      </c>
      <c r="F208" s="43">
        <f>F206+2*(F216-F206)/10</f>
        <v>1.62226</v>
      </c>
      <c r="G208" s="100">
        <f>G206+2*(G216-G206)/10</f>
        <v>423.4</v>
      </c>
      <c r="H208" s="98">
        <f t="shared" si="13"/>
        <v>2254.14</v>
      </c>
      <c r="I208" s="100">
        <f>I206+2*(I216-I206)/10</f>
        <v>2677.54</v>
      </c>
      <c r="J208" s="225">
        <f t="shared" si="15"/>
        <v>101</v>
      </c>
      <c r="K208" s="19"/>
    </row>
    <row r="209" spans="2:11" ht="12.75">
      <c r="B209" s="111">
        <f t="shared" si="14"/>
        <v>101.5</v>
      </c>
      <c r="C209" s="43">
        <f>C206+3*(C216-C206)/10</f>
        <v>1.071675</v>
      </c>
      <c r="D209" s="94">
        <f>D206+3*(D216-D206)/10</f>
        <v>0.0010449</v>
      </c>
      <c r="E209" s="96">
        <f t="shared" si="12"/>
        <v>1.5958451000000002</v>
      </c>
      <c r="F209" s="43">
        <f>F206+3*(F216-F206)/10</f>
        <v>1.5968900000000001</v>
      </c>
      <c r="G209" s="100">
        <f>G206+3*(G216-G206)/10</f>
        <v>425.5</v>
      </c>
      <c r="H209" s="98">
        <f t="shared" si="13"/>
        <v>2252.81</v>
      </c>
      <c r="I209" s="100">
        <f>I206+3*(I216-I206)/10</f>
        <v>2678.31</v>
      </c>
      <c r="J209" s="225">
        <f t="shared" si="15"/>
        <v>101.5</v>
      </c>
      <c r="K209" s="19"/>
    </row>
    <row r="210" spans="2:11" ht="12.75">
      <c r="B210" s="111">
        <f t="shared" si="14"/>
        <v>102</v>
      </c>
      <c r="C210" s="43">
        <f>C206+4*(C216-C206)/10</f>
        <v>1.09115</v>
      </c>
      <c r="D210" s="94">
        <f>D206+4*(D216-D206)/10</f>
        <v>0.0010453</v>
      </c>
      <c r="E210" s="96">
        <f t="shared" si="12"/>
        <v>1.5704747000000001</v>
      </c>
      <c r="F210" s="43">
        <f>F206+4*(F216-F206)/10</f>
        <v>1.57152</v>
      </c>
      <c r="G210" s="100">
        <f>G206+4*(G216-G206)/10</f>
        <v>427.59999999999997</v>
      </c>
      <c r="H210" s="98">
        <f t="shared" si="13"/>
        <v>2251.48</v>
      </c>
      <c r="I210" s="100">
        <f>I206+4*(I216-I206)/10</f>
        <v>2679.08</v>
      </c>
      <c r="J210" s="225">
        <f t="shared" si="15"/>
        <v>102</v>
      </c>
      <c r="K210" s="19"/>
    </row>
    <row r="211" spans="2:11" ht="12.75">
      <c r="B211" s="111">
        <f t="shared" si="14"/>
        <v>102.5</v>
      </c>
      <c r="C211" s="43">
        <f>C206+5*(C216-C206)/10</f>
        <v>1.110625</v>
      </c>
      <c r="D211" s="94">
        <f>D206+5*(D216-D206)/10</f>
        <v>0.0010457</v>
      </c>
      <c r="E211" s="96">
        <f t="shared" si="12"/>
        <v>1.5451043</v>
      </c>
      <c r="F211" s="43">
        <f>F206+5*(F216-F206)/10</f>
        <v>1.54615</v>
      </c>
      <c r="G211" s="100">
        <f>G206+5*(G216-G206)/10</f>
        <v>429.7</v>
      </c>
      <c r="H211" s="98">
        <f t="shared" si="13"/>
        <v>2250.15</v>
      </c>
      <c r="I211" s="100">
        <f>I206+5*(I216-I206)/10</f>
        <v>2679.85</v>
      </c>
      <c r="J211" s="225">
        <f t="shared" si="15"/>
        <v>102.5</v>
      </c>
      <c r="K211" s="19"/>
    </row>
    <row r="212" spans="2:11" ht="12.75">
      <c r="B212" s="111">
        <f t="shared" si="14"/>
        <v>103</v>
      </c>
      <c r="C212" s="43">
        <f>C206+6*(C216-C206)/10</f>
        <v>1.1300999999999999</v>
      </c>
      <c r="D212" s="94">
        <f>D206+6*(D216-D206)/10</f>
        <v>0.0010461</v>
      </c>
      <c r="E212" s="96">
        <f t="shared" si="12"/>
        <v>1.5197339</v>
      </c>
      <c r="F212" s="43">
        <f>F206+6*(F216-F206)/10</f>
        <v>1.52078</v>
      </c>
      <c r="G212" s="100">
        <f>G206+6*(G216-G206)/10</f>
        <v>431.8</v>
      </c>
      <c r="H212" s="98">
        <f t="shared" si="13"/>
        <v>2248.8199999999997</v>
      </c>
      <c r="I212" s="100">
        <f>I206+6*(I216-I206)/10</f>
        <v>2680.62</v>
      </c>
      <c r="J212" s="225">
        <f t="shared" si="15"/>
        <v>103</v>
      </c>
      <c r="K212" s="19"/>
    </row>
    <row r="213" spans="2:11" ht="12.75">
      <c r="B213" s="111">
        <f t="shared" si="14"/>
        <v>103.5</v>
      </c>
      <c r="C213" s="43">
        <f>C206+7*(C216-C206)/10</f>
        <v>1.149575</v>
      </c>
      <c r="D213" s="94">
        <f>D206+7*(D216-D206)/10</f>
        <v>0.0010465</v>
      </c>
      <c r="E213" s="96">
        <f t="shared" si="12"/>
        <v>1.4943635000000002</v>
      </c>
      <c r="F213" s="43">
        <f>F206+7*(F216-F206)/10</f>
        <v>1.4954100000000001</v>
      </c>
      <c r="G213" s="100">
        <f>G206+7*(G216-G206)/10</f>
        <v>433.9</v>
      </c>
      <c r="H213" s="98">
        <f t="shared" si="13"/>
        <v>2247.49</v>
      </c>
      <c r="I213" s="100">
        <f>I206+7*(I216-I206)/10</f>
        <v>2681.39</v>
      </c>
      <c r="J213" s="225">
        <f t="shared" si="15"/>
        <v>103.5</v>
      </c>
      <c r="K213" s="19"/>
    </row>
    <row r="214" spans="2:11" ht="12.75">
      <c r="B214" s="111">
        <f t="shared" si="14"/>
        <v>104</v>
      </c>
      <c r="C214" s="43">
        <f>C206+8*(C216-C206)/10</f>
        <v>1.16905</v>
      </c>
      <c r="D214" s="94">
        <f>D206+8*(D216-D206)/10</f>
        <v>0.0010469</v>
      </c>
      <c r="E214" s="96">
        <f t="shared" si="12"/>
        <v>1.4689931</v>
      </c>
      <c r="F214" s="43">
        <f>F206+8*(F216-F206)/10</f>
        <v>1.47004</v>
      </c>
      <c r="G214" s="100">
        <f>G206+8*(G216-G206)/10</f>
        <v>436</v>
      </c>
      <c r="H214" s="98">
        <f t="shared" si="13"/>
        <v>2246.16</v>
      </c>
      <c r="I214" s="100">
        <f>I206+8*(I216-I206)/10</f>
        <v>2682.16</v>
      </c>
      <c r="J214" s="225">
        <f t="shared" si="15"/>
        <v>104</v>
      </c>
      <c r="K214" s="19"/>
    </row>
    <row r="215" spans="2:11" ht="12.75">
      <c r="B215" s="111">
        <f t="shared" si="14"/>
        <v>104.5</v>
      </c>
      <c r="C215" s="43">
        <f>C206+9*(C216-C206)/10</f>
        <v>1.188525</v>
      </c>
      <c r="D215" s="94">
        <f>D206+9*(D216-D206)/10</f>
        <v>0.0010473</v>
      </c>
      <c r="E215" s="96">
        <f t="shared" si="12"/>
        <v>1.4436227</v>
      </c>
      <c r="F215" s="43">
        <f>F206+9*(F216-F206)/10</f>
        <v>1.44467</v>
      </c>
      <c r="G215" s="100">
        <f>G206+9*(G216-G206)/10</f>
        <v>438.09999999999997</v>
      </c>
      <c r="H215" s="98">
        <f t="shared" si="13"/>
        <v>2244.83</v>
      </c>
      <c r="I215" s="100">
        <f>I206+9*(I216-I206)/10</f>
        <v>2682.93</v>
      </c>
      <c r="J215" s="225">
        <f t="shared" si="15"/>
        <v>104.5</v>
      </c>
      <c r="K215" s="19"/>
    </row>
    <row r="216" spans="2:11" ht="12.75">
      <c r="B216" s="111">
        <f t="shared" si="14"/>
        <v>105</v>
      </c>
      <c r="C216" s="43">
        <v>1.208</v>
      </c>
      <c r="D216" s="94">
        <v>0.0010477</v>
      </c>
      <c r="E216" s="96">
        <f t="shared" si="12"/>
        <v>1.4182523</v>
      </c>
      <c r="F216" s="43">
        <v>1.4193</v>
      </c>
      <c r="G216" s="100">
        <v>440.2</v>
      </c>
      <c r="H216" s="98">
        <f t="shared" si="13"/>
        <v>2243.5</v>
      </c>
      <c r="I216" s="100">
        <v>2683.7</v>
      </c>
      <c r="J216" s="225">
        <f t="shared" si="15"/>
        <v>105</v>
      </c>
      <c r="K216" s="19"/>
    </row>
    <row r="217" spans="2:11" ht="12.75">
      <c r="B217" s="111">
        <f t="shared" si="14"/>
        <v>105.5</v>
      </c>
      <c r="C217" s="43">
        <f>C216+1*(C226-C216)/10</f>
        <v>1.23047</v>
      </c>
      <c r="D217" s="94">
        <f>D216+1*(D226-D216)/10</f>
        <v>0.00104812</v>
      </c>
      <c r="E217" s="96">
        <f t="shared" si="12"/>
        <v>1.39731188</v>
      </c>
      <c r="F217" s="43">
        <f>F216+1*(F226-F216)/10</f>
        <v>1.39836</v>
      </c>
      <c r="G217" s="100">
        <f>G216+1*(G226-G216)/10</f>
        <v>442.31</v>
      </c>
      <c r="H217" s="98">
        <f t="shared" si="13"/>
        <v>2242.15</v>
      </c>
      <c r="I217" s="100">
        <f>I216+1*(I226-I216)/10</f>
        <v>2684.46</v>
      </c>
      <c r="J217" s="225">
        <f t="shared" si="15"/>
        <v>105.5</v>
      </c>
      <c r="K217" s="19"/>
    </row>
    <row r="218" spans="2:11" ht="12.75">
      <c r="B218" s="111">
        <f t="shared" si="14"/>
        <v>106</v>
      </c>
      <c r="C218" s="43">
        <f>C216+2*(C226-C216)/10</f>
        <v>1.25294</v>
      </c>
      <c r="D218" s="94">
        <f>D216+2*(D226-D216)/10</f>
        <v>0.00104854</v>
      </c>
      <c r="E218" s="96">
        <f t="shared" si="12"/>
        <v>1.37637146</v>
      </c>
      <c r="F218" s="43">
        <f>F216+2*(F226-F216)/10</f>
        <v>1.37742</v>
      </c>
      <c r="G218" s="100">
        <f>G216+2*(G226-G216)/10</f>
        <v>444.42</v>
      </c>
      <c r="H218" s="98">
        <f t="shared" si="13"/>
        <v>2240.7999999999997</v>
      </c>
      <c r="I218" s="100">
        <f>I216+2*(I226-I216)/10</f>
        <v>2685.22</v>
      </c>
      <c r="J218" s="225">
        <f t="shared" si="15"/>
        <v>106</v>
      </c>
      <c r="K218" s="19"/>
    </row>
    <row r="219" spans="2:11" ht="12.75">
      <c r="B219" s="111">
        <f t="shared" si="14"/>
        <v>106.5</v>
      </c>
      <c r="C219" s="43">
        <f>C216+3*(C226-C216)/10</f>
        <v>1.27541</v>
      </c>
      <c r="D219" s="94">
        <f>D216+3*(D226-D216)/10</f>
        <v>0.0010489599999999998</v>
      </c>
      <c r="E219" s="96">
        <f t="shared" si="12"/>
        <v>1.3554310399999998</v>
      </c>
      <c r="F219" s="43">
        <f>F216+3*(F226-F216)/10</f>
        <v>1.35648</v>
      </c>
      <c r="G219" s="100">
        <f>G216+3*(G226-G216)/10</f>
        <v>446.53</v>
      </c>
      <c r="H219" s="98">
        <f t="shared" si="13"/>
        <v>2239.45</v>
      </c>
      <c r="I219" s="100">
        <f>I216+3*(I226-I216)/10</f>
        <v>2685.98</v>
      </c>
      <c r="J219" s="225">
        <f t="shared" si="15"/>
        <v>106.5</v>
      </c>
      <c r="K219" s="19"/>
    </row>
    <row r="220" spans="2:11" ht="12.75">
      <c r="B220" s="111">
        <f t="shared" si="14"/>
        <v>107</v>
      </c>
      <c r="C220" s="43">
        <f>C216+4*(C226-C216)/10</f>
        <v>1.29788</v>
      </c>
      <c r="D220" s="94">
        <f>D216+4*(D226-D216)/10</f>
        <v>0.00104938</v>
      </c>
      <c r="E220" s="96">
        <f t="shared" si="12"/>
        <v>1.33449062</v>
      </c>
      <c r="F220" s="43">
        <f>F216+4*(F226-F216)/10</f>
        <v>1.33554</v>
      </c>
      <c r="G220" s="100">
        <f>G216+4*(G226-G216)/10</f>
        <v>448.64</v>
      </c>
      <c r="H220" s="98">
        <f t="shared" si="13"/>
        <v>2238.1</v>
      </c>
      <c r="I220" s="100">
        <f>I216+4*(I226-I216)/10</f>
        <v>2686.74</v>
      </c>
      <c r="J220" s="225">
        <f t="shared" si="15"/>
        <v>107</v>
      </c>
      <c r="K220" s="19"/>
    </row>
    <row r="221" spans="2:11" ht="12.75">
      <c r="B221" s="111">
        <f t="shared" si="14"/>
        <v>107.5</v>
      </c>
      <c r="C221" s="43">
        <f>C216+5*(C226-C216)/10</f>
        <v>1.32035</v>
      </c>
      <c r="D221" s="94">
        <f>D216+5*(D226-D216)/10</f>
        <v>0.0010498</v>
      </c>
      <c r="E221" s="96">
        <f t="shared" si="12"/>
        <v>1.3135502</v>
      </c>
      <c r="F221" s="43">
        <f>F216+5*(F226-F216)/10</f>
        <v>1.3146</v>
      </c>
      <c r="G221" s="100">
        <f>G216+5*(G226-G216)/10</f>
        <v>450.75</v>
      </c>
      <c r="H221" s="98">
        <f t="shared" si="13"/>
        <v>2236.75</v>
      </c>
      <c r="I221" s="100">
        <f>I216+5*(I226-I216)/10</f>
        <v>2687.5</v>
      </c>
      <c r="J221" s="225">
        <f t="shared" si="15"/>
        <v>107.5</v>
      </c>
      <c r="K221" s="19"/>
    </row>
    <row r="222" spans="2:11" ht="12.75">
      <c r="B222" s="111">
        <f t="shared" si="14"/>
        <v>108</v>
      </c>
      <c r="C222" s="43">
        <f>C216+6*(C226-C216)/10</f>
        <v>1.3428200000000001</v>
      </c>
      <c r="D222" s="94">
        <f>D216+6*(D226-D216)/10</f>
        <v>0.00105022</v>
      </c>
      <c r="E222" s="96">
        <f t="shared" si="12"/>
        <v>1.29260978</v>
      </c>
      <c r="F222" s="43">
        <f>F216+6*(F226-F216)/10</f>
        <v>1.29366</v>
      </c>
      <c r="G222" s="100">
        <f>G216+6*(G226-G216)/10</f>
        <v>452.86</v>
      </c>
      <c r="H222" s="98">
        <f t="shared" si="13"/>
        <v>2235.4</v>
      </c>
      <c r="I222" s="100">
        <f>I216+6*(I226-I216)/10</f>
        <v>2688.26</v>
      </c>
      <c r="J222" s="225">
        <f t="shared" si="15"/>
        <v>108</v>
      </c>
      <c r="K222" s="19"/>
    </row>
    <row r="223" spans="2:11" ht="12.75">
      <c r="B223" s="111">
        <f t="shared" si="14"/>
        <v>108.5</v>
      </c>
      <c r="C223" s="43">
        <f>C216+7*(C226-C216)/10</f>
        <v>1.3652900000000001</v>
      </c>
      <c r="D223" s="94">
        <f>D216+7*(D226-D216)/10</f>
        <v>0.0010506399999999998</v>
      </c>
      <c r="E223" s="96">
        <f t="shared" si="12"/>
        <v>1.27166936</v>
      </c>
      <c r="F223" s="43">
        <f>F216+7*(F226-F216)/10</f>
        <v>1.27272</v>
      </c>
      <c r="G223" s="100">
        <f>G216+7*(G226-G216)/10</f>
        <v>454.97</v>
      </c>
      <c r="H223" s="98">
        <f t="shared" si="13"/>
        <v>2234.05</v>
      </c>
      <c r="I223" s="100">
        <f>I216+7*(I226-I216)/10</f>
        <v>2689.02</v>
      </c>
      <c r="J223" s="225">
        <f t="shared" si="15"/>
        <v>108.5</v>
      </c>
      <c r="K223" s="19"/>
    </row>
    <row r="224" spans="2:11" ht="12.75">
      <c r="B224" s="111">
        <f t="shared" si="14"/>
        <v>109</v>
      </c>
      <c r="C224" s="43">
        <f>C216+8*(C226-C216)/10</f>
        <v>1.38776</v>
      </c>
      <c r="D224" s="94">
        <f>D216+8*(D226-D216)/10</f>
        <v>0.00105106</v>
      </c>
      <c r="E224" s="96">
        <f t="shared" si="12"/>
        <v>1.25072894</v>
      </c>
      <c r="F224" s="43">
        <f>F216+8*(F226-F216)/10</f>
        <v>1.25178</v>
      </c>
      <c r="G224" s="100">
        <f>G216+8*(G226-G216)/10</f>
        <v>457.08</v>
      </c>
      <c r="H224" s="98">
        <f t="shared" si="13"/>
        <v>2232.7000000000003</v>
      </c>
      <c r="I224" s="100">
        <f>I216+8*(I226-I216)/10</f>
        <v>2689.78</v>
      </c>
      <c r="J224" s="225">
        <f t="shared" si="15"/>
        <v>109</v>
      </c>
      <c r="K224" s="19"/>
    </row>
    <row r="225" spans="2:11" ht="12.75">
      <c r="B225" s="111">
        <f t="shared" si="14"/>
        <v>109.5</v>
      </c>
      <c r="C225" s="43">
        <f>C216+9*(C226-C216)/10</f>
        <v>1.41023</v>
      </c>
      <c r="D225" s="94">
        <f>D216+9*(D226-D216)/10</f>
        <v>0.00105148</v>
      </c>
      <c r="E225" s="96">
        <f t="shared" si="12"/>
        <v>1.2297885199999998</v>
      </c>
      <c r="F225" s="43">
        <f>F216+9*(F226-F216)/10</f>
        <v>1.23084</v>
      </c>
      <c r="G225" s="100">
        <f>G216+9*(G226-G216)/10</f>
        <v>459.19</v>
      </c>
      <c r="H225" s="98">
        <f t="shared" si="13"/>
        <v>2231.35</v>
      </c>
      <c r="I225" s="100">
        <f>I216+9*(I226-I216)/10</f>
        <v>2690.54</v>
      </c>
      <c r="J225" s="225">
        <f t="shared" si="15"/>
        <v>109.5</v>
      </c>
      <c r="K225" s="19"/>
    </row>
    <row r="226" spans="2:11" ht="12.75">
      <c r="B226" s="111">
        <f t="shared" si="14"/>
        <v>110</v>
      </c>
      <c r="C226" s="43">
        <v>1.4327</v>
      </c>
      <c r="D226" s="94">
        <v>0.0010519</v>
      </c>
      <c r="E226" s="96">
        <f t="shared" si="12"/>
        <v>1.2088481</v>
      </c>
      <c r="F226" s="43">
        <v>1.2099</v>
      </c>
      <c r="G226" s="100">
        <v>461.3</v>
      </c>
      <c r="H226" s="98">
        <f t="shared" si="13"/>
        <v>2230</v>
      </c>
      <c r="I226" s="100">
        <v>2691.3</v>
      </c>
      <c r="J226" s="225">
        <f t="shared" si="15"/>
        <v>110</v>
      </c>
      <c r="K226" s="19"/>
    </row>
    <row r="227" spans="2:11" ht="12.75">
      <c r="B227" s="111">
        <f t="shared" si="14"/>
        <v>110.5</v>
      </c>
      <c r="C227" s="43">
        <f>C226+1*(C236-C226)/10</f>
        <v>1.45849</v>
      </c>
      <c r="D227" s="94">
        <f>D226+1*(D236-D226)/10</f>
        <v>0.00105233</v>
      </c>
      <c r="E227" s="96">
        <f t="shared" si="12"/>
        <v>1.1914876699999999</v>
      </c>
      <c r="F227" s="43">
        <f>F226+1*(F236-F226)/10</f>
        <v>1.19254</v>
      </c>
      <c r="G227" s="100">
        <f>G226+1*(G236-G226)/10</f>
        <v>463.42</v>
      </c>
      <c r="H227" s="98">
        <f t="shared" si="13"/>
        <v>2228.62</v>
      </c>
      <c r="I227" s="100">
        <f>I226+1*(I236-I226)/10</f>
        <v>2692.04</v>
      </c>
      <c r="J227" s="225">
        <f t="shared" si="15"/>
        <v>110.5</v>
      </c>
      <c r="K227" s="19"/>
    </row>
    <row r="228" spans="2:11" ht="12.75">
      <c r="B228" s="111">
        <f t="shared" si="14"/>
        <v>111</v>
      </c>
      <c r="C228" s="43">
        <f>C226+2*(C236-C226)/10</f>
        <v>1.48428</v>
      </c>
      <c r="D228" s="94">
        <f>D226+2*(D236-D226)/10</f>
        <v>0.00105276</v>
      </c>
      <c r="E228" s="96">
        <f t="shared" si="12"/>
        <v>1.1741272399999998</v>
      </c>
      <c r="F228" s="43">
        <f>F226+2*(F236-F226)/10</f>
        <v>1.17518</v>
      </c>
      <c r="G228" s="100">
        <f>G226+2*(G236-G226)/10</f>
        <v>465.54</v>
      </c>
      <c r="H228" s="98">
        <f t="shared" si="13"/>
        <v>2227.2400000000002</v>
      </c>
      <c r="I228" s="100">
        <f>I226+2*(I236-I226)/10</f>
        <v>2692.78</v>
      </c>
      <c r="J228" s="225">
        <f t="shared" si="15"/>
        <v>111</v>
      </c>
      <c r="K228" s="19"/>
    </row>
    <row r="229" spans="2:11" ht="12.75">
      <c r="B229" s="111">
        <f t="shared" si="14"/>
        <v>111.5</v>
      </c>
      <c r="C229" s="43">
        <f>C226+3*(C236-C226)/10</f>
        <v>1.51007</v>
      </c>
      <c r="D229" s="94">
        <f>D226+3*(D236-D226)/10</f>
        <v>0.0010531899999999999</v>
      </c>
      <c r="E229" s="96">
        <f t="shared" si="12"/>
        <v>1.1567668100000001</v>
      </c>
      <c r="F229" s="43">
        <f>F226+3*(F236-F226)/10</f>
        <v>1.15782</v>
      </c>
      <c r="G229" s="100">
        <f>G226+3*(G236-G226)/10</f>
        <v>467.66</v>
      </c>
      <c r="H229" s="98">
        <f t="shared" si="13"/>
        <v>2225.86</v>
      </c>
      <c r="I229" s="100">
        <f>I226+3*(I236-I226)/10</f>
        <v>2693.52</v>
      </c>
      <c r="J229" s="225">
        <f t="shared" si="15"/>
        <v>111.5</v>
      </c>
      <c r="K229" s="19"/>
    </row>
    <row r="230" spans="2:11" ht="12.75">
      <c r="B230" s="111">
        <f t="shared" si="14"/>
        <v>112</v>
      </c>
      <c r="C230" s="43">
        <f>C226+4*(C236-C226)/10</f>
        <v>1.53586</v>
      </c>
      <c r="D230" s="94">
        <f>D226+4*(D236-D226)/10</f>
        <v>0.00105362</v>
      </c>
      <c r="E230" s="96">
        <f t="shared" si="12"/>
        <v>1.13940638</v>
      </c>
      <c r="F230" s="43">
        <f>F226+4*(F236-F226)/10</f>
        <v>1.14046</v>
      </c>
      <c r="G230" s="100">
        <f>G226+4*(G236-G226)/10</f>
        <v>469.78000000000003</v>
      </c>
      <c r="H230" s="98">
        <f t="shared" si="13"/>
        <v>2224.48</v>
      </c>
      <c r="I230" s="100">
        <f>I226+4*(I236-I226)/10</f>
        <v>2694.26</v>
      </c>
      <c r="J230" s="225">
        <f t="shared" si="15"/>
        <v>112</v>
      </c>
      <c r="K230" s="19"/>
    </row>
    <row r="231" spans="2:11" ht="12.75">
      <c r="B231" s="111">
        <f t="shared" si="14"/>
        <v>112.5</v>
      </c>
      <c r="C231" s="43">
        <f>C226+5*(C236-C226)/10</f>
        <v>1.5616500000000002</v>
      </c>
      <c r="D231" s="94">
        <f>D226+5*(D236-D226)/10</f>
        <v>0.00105405</v>
      </c>
      <c r="E231" s="96">
        <f t="shared" si="12"/>
        <v>1.12204595</v>
      </c>
      <c r="F231" s="43">
        <f>F226+5*(F236-F226)/10</f>
        <v>1.1231</v>
      </c>
      <c r="G231" s="100">
        <f>G226+5*(G236-G226)/10</f>
        <v>471.9</v>
      </c>
      <c r="H231" s="98">
        <f t="shared" si="13"/>
        <v>2223.1</v>
      </c>
      <c r="I231" s="100">
        <f>I226+5*(I236-I226)/10</f>
        <v>2695</v>
      </c>
      <c r="J231" s="225">
        <f t="shared" si="15"/>
        <v>112.5</v>
      </c>
      <c r="K231" s="19"/>
    </row>
    <row r="232" spans="2:11" ht="12.75">
      <c r="B232" s="111">
        <f t="shared" si="14"/>
        <v>113</v>
      </c>
      <c r="C232" s="43">
        <f>C226+6*(C236-C226)/10</f>
        <v>1.5874400000000002</v>
      </c>
      <c r="D232" s="94">
        <f>D226+6*(D236-D226)/10</f>
        <v>0.00105448</v>
      </c>
      <c r="E232" s="96">
        <f t="shared" si="12"/>
        <v>1.1046855199999999</v>
      </c>
      <c r="F232" s="43">
        <f>F226+6*(F236-F226)/10</f>
        <v>1.10574</v>
      </c>
      <c r="G232" s="100">
        <f>G226+6*(G236-G226)/10</f>
        <v>474.02</v>
      </c>
      <c r="H232" s="98">
        <f t="shared" si="13"/>
        <v>2221.72</v>
      </c>
      <c r="I232" s="100">
        <f>I226+6*(I236-I226)/10</f>
        <v>2695.74</v>
      </c>
      <c r="J232" s="225">
        <f t="shared" si="15"/>
        <v>113</v>
      </c>
      <c r="K232" s="19"/>
    </row>
    <row r="233" spans="2:11" ht="12.75">
      <c r="B233" s="111">
        <f t="shared" si="14"/>
        <v>113.5</v>
      </c>
      <c r="C233" s="43">
        <f>C226+7*(C236-C226)/10</f>
        <v>1.6132300000000002</v>
      </c>
      <c r="D233" s="94">
        <f>D226+7*(D236-D226)/10</f>
        <v>0.00105491</v>
      </c>
      <c r="E233" s="96">
        <f t="shared" si="12"/>
        <v>1.08732509</v>
      </c>
      <c r="F233" s="43">
        <f>F226+7*(F236-F226)/10</f>
        <v>1.08838</v>
      </c>
      <c r="G233" s="100">
        <f>G226+7*(G236-G226)/10</f>
        <v>476.14</v>
      </c>
      <c r="H233" s="98">
        <f t="shared" si="13"/>
        <v>2220.34</v>
      </c>
      <c r="I233" s="100">
        <f>I226+7*(I236-I226)/10</f>
        <v>2696.48</v>
      </c>
      <c r="J233" s="225">
        <f t="shared" si="15"/>
        <v>113.5</v>
      </c>
      <c r="K233" s="19"/>
    </row>
    <row r="234" spans="2:11" ht="12.75">
      <c r="B234" s="111">
        <f t="shared" si="14"/>
        <v>114</v>
      </c>
      <c r="C234" s="43">
        <f>C226+8*(C236-C226)/10</f>
        <v>1.6390200000000001</v>
      </c>
      <c r="D234" s="94">
        <f>D226+8*(D236-D226)/10</f>
        <v>0.0010553399999999999</v>
      </c>
      <c r="E234" s="96">
        <f t="shared" si="12"/>
        <v>1.0699646600000001</v>
      </c>
      <c r="F234" s="43">
        <f>F226+8*(F236-F226)/10</f>
        <v>1.07102</v>
      </c>
      <c r="G234" s="100">
        <f>G226+8*(G236-G226)/10</f>
        <v>478.26</v>
      </c>
      <c r="H234" s="98">
        <f t="shared" si="13"/>
        <v>2218.96</v>
      </c>
      <c r="I234" s="100">
        <f>I226+8*(I236-I226)/10</f>
        <v>2697.22</v>
      </c>
      <c r="J234" s="225">
        <f t="shared" si="15"/>
        <v>114</v>
      </c>
      <c r="K234" s="19"/>
    </row>
    <row r="235" spans="2:11" ht="12.75">
      <c r="B235" s="111">
        <f t="shared" si="14"/>
        <v>114.5</v>
      </c>
      <c r="C235" s="43">
        <f>C226+9*(C236-C226)/10</f>
        <v>1.6648100000000001</v>
      </c>
      <c r="D235" s="94">
        <f>D226+9*(D236-D226)/10</f>
        <v>0.00105577</v>
      </c>
      <c r="E235" s="96">
        <f t="shared" si="12"/>
        <v>1.05260423</v>
      </c>
      <c r="F235" s="43">
        <f>F226+9*(F236-F226)/10</f>
        <v>1.05366</v>
      </c>
      <c r="G235" s="100">
        <f>G226+9*(G236-G226)/10</f>
        <v>480.38</v>
      </c>
      <c r="H235" s="98">
        <f t="shared" si="13"/>
        <v>2217.58</v>
      </c>
      <c r="I235" s="100">
        <f>I226+9*(I236-I226)/10</f>
        <v>2697.96</v>
      </c>
      <c r="J235" s="225">
        <f t="shared" si="15"/>
        <v>114.5</v>
      </c>
      <c r="K235" s="19"/>
    </row>
    <row r="236" spans="2:11" ht="12.75">
      <c r="B236" s="111">
        <f t="shared" si="14"/>
        <v>115</v>
      </c>
      <c r="C236" s="43">
        <v>1.6906</v>
      </c>
      <c r="D236" s="94">
        <v>0.0010562</v>
      </c>
      <c r="E236" s="96">
        <f t="shared" si="12"/>
        <v>1.0352438</v>
      </c>
      <c r="F236" s="43">
        <v>1.0363</v>
      </c>
      <c r="G236" s="100">
        <v>482.5</v>
      </c>
      <c r="H236" s="98">
        <f t="shared" si="13"/>
        <v>2216.2</v>
      </c>
      <c r="I236" s="100">
        <v>2698.7</v>
      </c>
      <c r="J236" s="225">
        <f t="shared" si="15"/>
        <v>115</v>
      </c>
      <c r="K236" s="19"/>
    </row>
    <row r="237" spans="2:11" ht="12.75">
      <c r="B237" s="111">
        <f t="shared" si="14"/>
        <v>115.5</v>
      </c>
      <c r="C237" s="43">
        <f>C236+1*(C246-C236)/10</f>
        <v>1.72008</v>
      </c>
      <c r="D237" s="94">
        <f>D236+1*(D246-D236)/10</f>
        <v>0.00105664</v>
      </c>
      <c r="E237" s="96">
        <f t="shared" si="12"/>
        <v>1.02076536</v>
      </c>
      <c r="F237" s="43">
        <f>F236+1*(F246-F236)/10</f>
        <v>1.021822</v>
      </c>
      <c r="G237" s="100">
        <f>G236+1*(G246-G236)/10</f>
        <v>484.62</v>
      </c>
      <c r="H237" s="98">
        <f t="shared" si="13"/>
        <v>2214.81</v>
      </c>
      <c r="I237" s="100">
        <f>I236+1*(I246-I236)/10</f>
        <v>2699.43</v>
      </c>
      <c r="J237" s="225">
        <f t="shared" si="15"/>
        <v>115.5</v>
      </c>
      <c r="K237" s="19"/>
    </row>
    <row r="238" spans="2:11" ht="12.75">
      <c r="B238" s="111">
        <f t="shared" si="14"/>
        <v>116</v>
      </c>
      <c r="C238" s="43">
        <f>C236+2*(C246-C236)/10</f>
        <v>1.74956</v>
      </c>
      <c r="D238" s="94">
        <f>D236+2*(D246-D236)/10</f>
        <v>0.00105708</v>
      </c>
      <c r="E238" s="96">
        <f t="shared" si="12"/>
        <v>1.00628692</v>
      </c>
      <c r="F238" s="43">
        <f>F236+2*(F246-F236)/10</f>
        <v>1.007344</v>
      </c>
      <c r="G238" s="100">
        <f>G236+2*(G246-G236)/10</f>
        <v>486.74</v>
      </c>
      <c r="H238" s="98">
        <f t="shared" si="13"/>
        <v>2213.42</v>
      </c>
      <c r="I238" s="100">
        <f>I236+2*(I246-I236)/10</f>
        <v>2700.16</v>
      </c>
      <c r="J238" s="225">
        <f t="shared" si="15"/>
        <v>116</v>
      </c>
      <c r="K238" s="19"/>
    </row>
    <row r="239" spans="2:11" ht="12.75">
      <c r="B239" s="111">
        <f t="shared" si="14"/>
        <v>116.5</v>
      </c>
      <c r="C239" s="43">
        <f>C236+3*(C246-C236)/10</f>
        <v>1.7790400000000002</v>
      </c>
      <c r="D239" s="94">
        <f>D236+3*(D246-D236)/10</f>
        <v>0.00105752</v>
      </c>
      <c r="E239" s="96">
        <f t="shared" si="12"/>
        <v>0.99180848</v>
      </c>
      <c r="F239" s="43">
        <f>F236+3*(F246-F236)/10</f>
        <v>0.992866</v>
      </c>
      <c r="G239" s="100">
        <f>G236+3*(G246-G236)/10</f>
        <v>488.86</v>
      </c>
      <c r="H239" s="98">
        <f t="shared" si="13"/>
        <v>2212.0299999999997</v>
      </c>
      <c r="I239" s="100">
        <f>I236+3*(I246-I236)/10</f>
        <v>2700.89</v>
      </c>
      <c r="J239" s="225">
        <f t="shared" si="15"/>
        <v>116.5</v>
      </c>
      <c r="K239" s="19"/>
    </row>
    <row r="240" spans="2:11" ht="12.75">
      <c r="B240" s="111">
        <f t="shared" si="14"/>
        <v>117</v>
      </c>
      <c r="C240" s="43">
        <f>C236+4*(C246-C236)/10</f>
        <v>1.8085200000000001</v>
      </c>
      <c r="D240" s="94">
        <f>D236+4*(D246-D236)/10</f>
        <v>0.00105796</v>
      </c>
      <c r="E240" s="96">
        <f t="shared" si="12"/>
        <v>0.97733004</v>
      </c>
      <c r="F240" s="43">
        <f>F236+4*(F246-F236)/10</f>
        <v>0.978388</v>
      </c>
      <c r="G240" s="100">
        <f>G236+4*(G246-G236)/10</f>
        <v>490.98</v>
      </c>
      <c r="H240" s="98">
        <f t="shared" si="13"/>
        <v>2210.64</v>
      </c>
      <c r="I240" s="100">
        <f>I236+4*(I246-I236)/10</f>
        <v>2701.62</v>
      </c>
      <c r="J240" s="225">
        <f t="shared" si="15"/>
        <v>117</v>
      </c>
      <c r="K240" s="19"/>
    </row>
    <row r="241" spans="2:11" ht="12.75">
      <c r="B241" s="111">
        <f t="shared" si="14"/>
        <v>117.5</v>
      </c>
      <c r="C241" s="43">
        <f>C236+5*(C246-C236)/10</f>
        <v>1.838</v>
      </c>
      <c r="D241" s="94">
        <f>D236+5*(D246-D236)/10</f>
        <v>0.0010584000000000001</v>
      </c>
      <c r="E241" s="96">
        <f t="shared" si="12"/>
        <v>0.9628516</v>
      </c>
      <c r="F241" s="43">
        <f>F236+5*(F246-F236)/10</f>
        <v>0.96391</v>
      </c>
      <c r="G241" s="100">
        <f>G236+5*(G246-G236)/10</f>
        <v>493.1</v>
      </c>
      <c r="H241" s="98">
        <f t="shared" si="13"/>
        <v>2209.25</v>
      </c>
      <c r="I241" s="100">
        <f>I236+5*(I246-I236)/10</f>
        <v>2702.35</v>
      </c>
      <c r="J241" s="225">
        <f t="shared" si="15"/>
        <v>117.5</v>
      </c>
      <c r="K241" s="19"/>
    </row>
    <row r="242" spans="2:11" ht="12.75">
      <c r="B242" s="111">
        <f t="shared" si="14"/>
        <v>118</v>
      </c>
      <c r="C242" s="43">
        <f>C236+6*(C246-C236)/10</f>
        <v>1.86748</v>
      </c>
      <c r="D242" s="94">
        <f>D236+6*(D246-D236)/10</f>
        <v>0.0010588400000000001</v>
      </c>
      <c r="E242" s="96">
        <f t="shared" si="12"/>
        <v>0.9483731599999999</v>
      </c>
      <c r="F242" s="43">
        <f>F236+6*(F246-F236)/10</f>
        <v>0.9494319999999999</v>
      </c>
      <c r="G242" s="100">
        <f>G236+6*(G246-G236)/10</f>
        <v>495.21999999999997</v>
      </c>
      <c r="H242" s="98">
        <f t="shared" si="13"/>
        <v>2207.86</v>
      </c>
      <c r="I242" s="100">
        <f>I236+6*(I246-I236)/10</f>
        <v>2703.08</v>
      </c>
      <c r="J242" s="225">
        <f t="shared" si="15"/>
        <v>118</v>
      </c>
      <c r="K242" s="19"/>
    </row>
    <row r="243" spans="2:11" ht="12.75">
      <c r="B243" s="111">
        <f t="shared" si="14"/>
        <v>118.5</v>
      </c>
      <c r="C243" s="43">
        <f>C236+7*(C246-C236)/10</f>
        <v>1.89696</v>
      </c>
      <c r="D243" s="94">
        <f>D236+7*(D246-D236)/10</f>
        <v>0.0010592800000000001</v>
      </c>
      <c r="E243" s="96">
        <f t="shared" si="12"/>
        <v>0.93389472</v>
      </c>
      <c r="F243" s="43">
        <f>F236+7*(F246-F236)/10</f>
        <v>0.934954</v>
      </c>
      <c r="G243" s="100">
        <f>G236+7*(G246-G236)/10</f>
        <v>497.34</v>
      </c>
      <c r="H243" s="98">
        <f t="shared" si="13"/>
        <v>2206.47</v>
      </c>
      <c r="I243" s="100">
        <f>I236+7*(I246-I236)/10</f>
        <v>2703.81</v>
      </c>
      <c r="J243" s="225">
        <f t="shared" si="15"/>
        <v>118.5</v>
      </c>
      <c r="K243" s="19"/>
    </row>
    <row r="244" spans="2:11" ht="12.75">
      <c r="B244" s="111">
        <f t="shared" si="14"/>
        <v>119</v>
      </c>
      <c r="C244" s="43">
        <f>C236+8*(C246-C236)/10</f>
        <v>1.9264400000000002</v>
      </c>
      <c r="D244" s="94">
        <f>D236+8*(D246-D236)/10</f>
        <v>0.00105972</v>
      </c>
      <c r="E244" s="96">
        <f t="shared" si="12"/>
        <v>0.91941628</v>
      </c>
      <c r="F244" s="43">
        <f>F236+8*(F246-F236)/10</f>
        <v>0.920476</v>
      </c>
      <c r="G244" s="100">
        <f>G236+8*(G246-G236)/10</f>
        <v>499.46</v>
      </c>
      <c r="H244" s="98">
        <f t="shared" si="13"/>
        <v>2205.08</v>
      </c>
      <c r="I244" s="100">
        <f>I236+8*(I246-I236)/10</f>
        <v>2704.54</v>
      </c>
      <c r="J244" s="225">
        <f t="shared" si="15"/>
        <v>119</v>
      </c>
      <c r="K244" s="19"/>
    </row>
    <row r="245" spans="2:11" ht="12.75">
      <c r="B245" s="111">
        <f t="shared" si="14"/>
        <v>119.5</v>
      </c>
      <c r="C245" s="43">
        <f>C236+9*(C246-C236)/10</f>
        <v>1.95592</v>
      </c>
      <c r="D245" s="94">
        <f>D236+9*(D246-D236)/10</f>
        <v>0.00106016</v>
      </c>
      <c r="E245" s="96">
        <f t="shared" si="12"/>
        <v>0.90493784</v>
      </c>
      <c r="F245" s="43">
        <f>F236+9*(F246-F236)/10</f>
        <v>0.905998</v>
      </c>
      <c r="G245" s="100">
        <f>G236+9*(G246-G236)/10</f>
        <v>501.58</v>
      </c>
      <c r="H245" s="98">
        <f t="shared" si="13"/>
        <v>2203.69</v>
      </c>
      <c r="I245" s="100">
        <f>I236+9*(I246-I236)/10</f>
        <v>2705.27</v>
      </c>
      <c r="J245" s="225">
        <f t="shared" si="15"/>
        <v>119.5</v>
      </c>
      <c r="K245" s="19"/>
    </row>
    <row r="246" spans="2:11" ht="12.75">
      <c r="B246" s="111">
        <f t="shared" si="14"/>
        <v>120</v>
      </c>
      <c r="C246" s="43">
        <v>1.9854</v>
      </c>
      <c r="D246" s="94">
        <v>0.0010606</v>
      </c>
      <c r="E246" s="96">
        <f t="shared" si="12"/>
        <v>0.8904594</v>
      </c>
      <c r="F246" s="43">
        <v>0.89152</v>
      </c>
      <c r="G246" s="100">
        <v>503.7</v>
      </c>
      <c r="H246" s="98">
        <f t="shared" si="13"/>
        <v>2202.3</v>
      </c>
      <c r="I246" s="100">
        <v>2706</v>
      </c>
      <c r="J246" s="225">
        <f t="shared" si="15"/>
        <v>120</v>
      </c>
      <c r="K246" s="19"/>
    </row>
    <row r="247" spans="2:11" ht="12.75">
      <c r="B247" s="111">
        <f t="shared" si="14"/>
        <v>120.5</v>
      </c>
      <c r="C247" s="43">
        <f>C246+1*(C256-C246)/10</f>
        <v>2.01896</v>
      </c>
      <c r="D247" s="94">
        <f>D246+1*(D256-D246)/10</f>
        <v>0.0010610600000000002</v>
      </c>
      <c r="E247" s="96">
        <f t="shared" si="12"/>
        <v>0.8783299400000001</v>
      </c>
      <c r="F247" s="43">
        <f>F246+1*(F256-F246)/10</f>
        <v>0.879391</v>
      </c>
      <c r="G247" s="100">
        <f>G246+1*(G256-G246)/10</f>
        <v>505.83</v>
      </c>
      <c r="H247" s="98">
        <f t="shared" si="13"/>
        <v>2200.87</v>
      </c>
      <c r="I247" s="100">
        <f>I246+1*(I256-I246)/10</f>
        <v>2706.7</v>
      </c>
      <c r="J247" s="225">
        <f t="shared" si="15"/>
        <v>120.5</v>
      </c>
      <c r="K247" s="19"/>
    </row>
    <row r="248" spans="2:11" ht="12.75">
      <c r="B248" s="111">
        <f t="shared" si="14"/>
        <v>121</v>
      </c>
      <c r="C248" s="43">
        <f>C246+2*(C256-C246)/10</f>
        <v>2.05252</v>
      </c>
      <c r="D248" s="94">
        <f>D246+2*(D256-D246)/10</f>
        <v>0.00106152</v>
      </c>
      <c r="E248" s="96">
        <f t="shared" si="12"/>
        <v>0.8662004799999999</v>
      </c>
      <c r="F248" s="43">
        <f>F246+2*(F256-F246)/10</f>
        <v>0.867262</v>
      </c>
      <c r="G248" s="100">
        <f>G246+2*(G256-G246)/10</f>
        <v>507.96</v>
      </c>
      <c r="H248" s="98">
        <f t="shared" si="13"/>
        <v>2199.44</v>
      </c>
      <c r="I248" s="100">
        <f>I246+2*(I256-I246)/10</f>
        <v>2707.4</v>
      </c>
      <c r="J248" s="225">
        <f t="shared" si="15"/>
        <v>121</v>
      </c>
      <c r="K248" s="19"/>
    </row>
    <row r="249" spans="2:11" ht="12.75">
      <c r="B249" s="111">
        <f t="shared" si="14"/>
        <v>121.5</v>
      </c>
      <c r="C249" s="43">
        <f>C246+3*(C256-C246)/10</f>
        <v>2.08608</v>
      </c>
      <c r="D249" s="94">
        <f>D246+3*(D256-D246)/10</f>
        <v>0.0010619800000000001</v>
      </c>
      <c r="E249" s="96">
        <f t="shared" si="12"/>
        <v>0.8540710199999999</v>
      </c>
      <c r="F249" s="43">
        <f>F246+3*(F256-F246)/10</f>
        <v>0.8551329999999999</v>
      </c>
      <c r="G249" s="100">
        <f>G246+3*(G256-G246)/10</f>
        <v>510.09</v>
      </c>
      <c r="H249" s="98">
        <f t="shared" si="13"/>
        <v>2198.0099999999998</v>
      </c>
      <c r="I249" s="100">
        <f>I246+3*(I256-I246)/10</f>
        <v>2708.1</v>
      </c>
      <c r="J249" s="225">
        <f t="shared" si="15"/>
        <v>121.5</v>
      </c>
      <c r="K249" s="19"/>
    </row>
    <row r="250" spans="2:11" ht="12.75">
      <c r="B250" s="111">
        <f t="shared" si="14"/>
        <v>122</v>
      </c>
      <c r="C250" s="43">
        <f>C246+4*(C256-C246)/10</f>
        <v>2.11964</v>
      </c>
      <c r="D250" s="94">
        <f>D246+4*(D256-D246)/10</f>
        <v>0.00106244</v>
      </c>
      <c r="E250" s="96">
        <f t="shared" si="12"/>
        <v>0.84194156</v>
      </c>
      <c r="F250" s="43">
        <f>F246+4*(F256-F246)/10</f>
        <v>0.843004</v>
      </c>
      <c r="G250" s="100">
        <f>G246+4*(G256-G246)/10</f>
        <v>512.22</v>
      </c>
      <c r="H250" s="98">
        <f t="shared" si="13"/>
        <v>2196.58</v>
      </c>
      <c r="I250" s="100">
        <f>I246+4*(I256-I246)/10</f>
        <v>2708.8</v>
      </c>
      <c r="J250" s="225">
        <f t="shared" si="15"/>
        <v>122</v>
      </c>
      <c r="K250" s="19"/>
    </row>
    <row r="251" spans="2:11" ht="12.75">
      <c r="B251" s="111">
        <f t="shared" si="14"/>
        <v>122.5</v>
      </c>
      <c r="C251" s="43">
        <f>C246+5*(C256-C246)/10</f>
        <v>2.1532</v>
      </c>
      <c r="D251" s="94">
        <f>D246+5*(D256-D246)/10</f>
        <v>0.0010629</v>
      </c>
      <c r="E251" s="96">
        <f t="shared" si="12"/>
        <v>0.8298121</v>
      </c>
      <c r="F251" s="43">
        <f>F246+5*(F256-F246)/10</f>
        <v>0.830875</v>
      </c>
      <c r="G251" s="100">
        <f>G246+5*(G256-G246)/10</f>
        <v>514.35</v>
      </c>
      <c r="H251" s="98">
        <f t="shared" si="13"/>
        <v>2195.15</v>
      </c>
      <c r="I251" s="100">
        <f>I246+5*(I256-I246)/10</f>
        <v>2709.5</v>
      </c>
      <c r="J251" s="225">
        <f t="shared" si="15"/>
        <v>122.5</v>
      </c>
      <c r="K251" s="19"/>
    </row>
    <row r="252" spans="2:11" ht="12.75">
      <c r="B252" s="111">
        <f t="shared" si="14"/>
        <v>123</v>
      </c>
      <c r="C252" s="43">
        <f>C246+6*(C256-C246)/10</f>
        <v>2.18676</v>
      </c>
      <c r="D252" s="94">
        <f>D246+6*(D256-D246)/10</f>
        <v>0.0010633600000000002</v>
      </c>
      <c r="E252" s="96">
        <f t="shared" si="12"/>
        <v>0.81768264</v>
      </c>
      <c r="F252" s="43">
        <f>F246+6*(F256-F246)/10</f>
        <v>0.818746</v>
      </c>
      <c r="G252" s="100">
        <f>G246+6*(G256-G246)/10</f>
        <v>516.48</v>
      </c>
      <c r="H252" s="98">
        <f t="shared" si="13"/>
        <v>2193.72</v>
      </c>
      <c r="I252" s="100">
        <f>I246+6*(I256-I246)/10</f>
        <v>2710.2</v>
      </c>
      <c r="J252" s="225">
        <f t="shared" si="15"/>
        <v>123</v>
      </c>
      <c r="K252" s="19"/>
    </row>
    <row r="253" spans="2:11" ht="12.75">
      <c r="B253" s="111">
        <f t="shared" si="14"/>
        <v>123.5</v>
      </c>
      <c r="C253" s="43">
        <f>C246+7*(C256-C246)/10</f>
        <v>2.22032</v>
      </c>
      <c r="D253" s="94">
        <f>D246+7*(D256-D246)/10</f>
        <v>0.00106382</v>
      </c>
      <c r="E253" s="96">
        <f t="shared" si="12"/>
        <v>0.8055531799999999</v>
      </c>
      <c r="F253" s="43">
        <f>F246+7*(F256-F246)/10</f>
        <v>0.8066169999999999</v>
      </c>
      <c r="G253" s="100">
        <f>G246+7*(G256-G246)/10</f>
        <v>518.61</v>
      </c>
      <c r="H253" s="98">
        <f t="shared" si="13"/>
        <v>2192.29</v>
      </c>
      <c r="I253" s="100">
        <f>I246+7*(I256-I246)/10</f>
        <v>2710.9</v>
      </c>
      <c r="J253" s="225">
        <f t="shared" si="15"/>
        <v>123.5</v>
      </c>
      <c r="K253" s="19"/>
    </row>
    <row r="254" spans="2:11" ht="12.75">
      <c r="B254" s="111">
        <f t="shared" si="14"/>
        <v>124</v>
      </c>
      <c r="C254" s="43">
        <f>C246+8*(C256-C246)/10</f>
        <v>2.25388</v>
      </c>
      <c r="D254" s="94">
        <f>D246+8*(D256-D246)/10</f>
        <v>0.0010642800000000001</v>
      </c>
      <c r="E254" s="96">
        <f t="shared" si="12"/>
        <v>0.7934237199999999</v>
      </c>
      <c r="F254" s="43">
        <f>F246+8*(F256-F246)/10</f>
        <v>0.794488</v>
      </c>
      <c r="G254" s="100">
        <f>G246+8*(G256-G246)/10</f>
        <v>520.74</v>
      </c>
      <c r="H254" s="98">
        <f t="shared" si="13"/>
        <v>2190.8599999999997</v>
      </c>
      <c r="I254" s="100">
        <f>I246+8*(I256-I246)/10</f>
        <v>2711.6</v>
      </c>
      <c r="J254" s="225">
        <f t="shared" si="15"/>
        <v>124</v>
      </c>
      <c r="K254" s="19"/>
    </row>
    <row r="255" spans="2:11" ht="12.75">
      <c r="B255" s="111">
        <f t="shared" si="14"/>
        <v>124.5</v>
      </c>
      <c r="C255" s="43">
        <f>C246+9*(C256-C246)/10</f>
        <v>2.28744</v>
      </c>
      <c r="D255" s="94">
        <f>D246+9*(D256-D246)/10</f>
        <v>0.00106474</v>
      </c>
      <c r="E255" s="96">
        <f t="shared" si="12"/>
        <v>0.7812942599999999</v>
      </c>
      <c r="F255" s="43">
        <f>F246+9*(F256-F246)/10</f>
        <v>0.7823589999999999</v>
      </c>
      <c r="G255" s="100">
        <f>G246+9*(G256-G246)/10</f>
        <v>522.87</v>
      </c>
      <c r="H255" s="98">
        <f t="shared" si="13"/>
        <v>2189.4300000000003</v>
      </c>
      <c r="I255" s="100">
        <f>I246+9*(I256-I246)/10</f>
        <v>2712.3</v>
      </c>
      <c r="J255" s="225">
        <f t="shared" si="15"/>
        <v>124.5</v>
      </c>
      <c r="K255" s="19"/>
    </row>
    <row r="256" spans="2:11" ht="12.75">
      <c r="B256" s="111">
        <f t="shared" si="14"/>
        <v>125</v>
      </c>
      <c r="C256" s="43">
        <v>2.321</v>
      </c>
      <c r="D256" s="94">
        <v>0.0010652</v>
      </c>
      <c r="E256" s="96">
        <f t="shared" si="12"/>
        <v>0.7691648</v>
      </c>
      <c r="F256" s="43">
        <v>0.77023</v>
      </c>
      <c r="G256" s="100">
        <v>525</v>
      </c>
      <c r="H256" s="98">
        <f t="shared" si="13"/>
        <v>2188</v>
      </c>
      <c r="I256" s="100">
        <v>2713</v>
      </c>
      <c r="J256" s="225">
        <f t="shared" si="15"/>
        <v>125</v>
      </c>
      <c r="K256" s="19"/>
    </row>
    <row r="257" spans="2:11" ht="12.75">
      <c r="B257" s="111">
        <f t="shared" si="14"/>
        <v>125.5</v>
      </c>
      <c r="C257" s="43">
        <f>C256+1*(C266-C256)/10</f>
        <v>2.35903</v>
      </c>
      <c r="D257" s="94">
        <f>D256+1*(D266-D256)/10</f>
        <v>0.00106568</v>
      </c>
      <c r="E257" s="96">
        <f t="shared" si="12"/>
        <v>0.75895532</v>
      </c>
      <c r="F257" s="43">
        <f>F256+1*(F266-F256)/10</f>
        <v>0.760021</v>
      </c>
      <c r="G257" s="100">
        <f>G256+1*(G266-G256)/10</f>
        <v>527.13</v>
      </c>
      <c r="H257" s="98">
        <f t="shared" si="13"/>
        <v>2186.56</v>
      </c>
      <c r="I257" s="100">
        <f>I256+1*(I266-I256)/10</f>
        <v>2713.69</v>
      </c>
      <c r="J257" s="225">
        <f t="shared" si="15"/>
        <v>125.5</v>
      </c>
      <c r="K257" s="19"/>
    </row>
    <row r="258" spans="2:11" ht="12.75">
      <c r="B258" s="111">
        <f t="shared" si="14"/>
        <v>126</v>
      </c>
      <c r="C258" s="43">
        <f>C256+2*(C266-C256)/10</f>
        <v>2.39706</v>
      </c>
      <c r="D258" s="94">
        <f>D256+2*(D266-D256)/10</f>
        <v>0.00106616</v>
      </c>
      <c r="E258" s="96">
        <f t="shared" si="12"/>
        <v>0.7487458399999999</v>
      </c>
      <c r="F258" s="43">
        <f>F256+2*(F266-F256)/10</f>
        <v>0.7498119999999999</v>
      </c>
      <c r="G258" s="100">
        <f>G256+2*(G266-G256)/10</f>
        <v>529.26</v>
      </c>
      <c r="H258" s="98">
        <f t="shared" si="13"/>
        <v>2185.12</v>
      </c>
      <c r="I258" s="100">
        <f>I256+2*(I266-I256)/10</f>
        <v>2714.38</v>
      </c>
      <c r="J258" s="225">
        <f t="shared" si="15"/>
        <v>126</v>
      </c>
      <c r="K258" s="19"/>
    </row>
    <row r="259" spans="2:11" ht="12.75">
      <c r="B259" s="111">
        <f t="shared" si="14"/>
        <v>126.5</v>
      </c>
      <c r="C259" s="43">
        <f>C256+3*(C266-C256)/10</f>
        <v>2.43509</v>
      </c>
      <c r="D259" s="94">
        <f>D256+3*(D266-D256)/10</f>
        <v>0.00106664</v>
      </c>
      <c r="E259" s="96">
        <f t="shared" si="12"/>
        <v>0.73853636</v>
      </c>
      <c r="F259" s="43">
        <f>F256+3*(F266-F256)/10</f>
        <v>0.739603</v>
      </c>
      <c r="G259" s="100">
        <f>G256+3*(G266-G256)/10</f>
        <v>531.39</v>
      </c>
      <c r="H259" s="98">
        <f t="shared" si="13"/>
        <v>2183.6800000000003</v>
      </c>
      <c r="I259" s="100">
        <f>I256+3*(I266-I256)/10</f>
        <v>2715.07</v>
      </c>
      <c r="J259" s="225">
        <f t="shared" si="15"/>
        <v>126.5</v>
      </c>
      <c r="K259" s="19"/>
    </row>
    <row r="260" spans="2:11" ht="12.75">
      <c r="B260" s="111">
        <f t="shared" si="14"/>
        <v>127</v>
      </c>
      <c r="C260" s="43">
        <f>C256+4*(C266-C256)/10</f>
        <v>2.47312</v>
      </c>
      <c r="D260" s="94">
        <f>D256+4*(D266-D256)/10</f>
        <v>0.00106712</v>
      </c>
      <c r="E260" s="96">
        <f t="shared" si="12"/>
        <v>0.72832688</v>
      </c>
      <c r="F260" s="43">
        <f>F256+4*(F266-F256)/10</f>
        <v>0.729394</v>
      </c>
      <c r="G260" s="100">
        <f>G256+4*(G266-G256)/10</f>
        <v>533.52</v>
      </c>
      <c r="H260" s="98">
        <f t="shared" si="13"/>
        <v>2182.2400000000002</v>
      </c>
      <c r="I260" s="100">
        <f>I256+4*(I266-I256)/10</f>
        <v>2715.76</v>
      </c>
      <c r="J260" s="225">
        <f t="shared" si="15"/>
        <v>127</v>
      </c>
      <c r="K260" s="19"/>
    </row>
    <row r="261" spans="2:11" ht="12.75">
      <c r="B261" s="111">
        <f t="shared" si="14"/>
        <v>127.5</v>
      </c>
      <c r="C261" s="43">
        <f>C256+5*(C266-C256)/10</f>
        <v>2.5111499999999998</v>
      </c>
      <c r="D261" s="94">
        <f>D256+5*(D266-D256)/10</f>
        <v>0.0010676000000000001</v>
      </c>
      <c r="E261" s="96">
        <f t="shared" si="12"/>
        <v>0.7181174</v>
      </c>
      <c r="F261" s="43">
        <f>F256+5*(F266-F256)/10</f>
        <v>0.719185</v>
      </c>
      <c r="G261" s="100">
        <f>G256+5*(G266-G256)/10</f>
        <v>535.65</v>
      </c>
      <c r="H261" s="98">
        <f t="shared" si="13"/>
        <v>2180.7999999999997</v>
      </c>
      <c r="I261" s="100">
        <f>I256+5*(I266-I256)/10</f>
        <v>2716.45</v>
      </c>
      <c r="J261" s="225">
        <f t="shared" si="15"/>
        <v>127.5</v>
      </c>
      <c r="K261" s="19"/>
    </row>
    <row r="262" spans="2:11" ht="12.75">
      <c r="B262" s="111">
        <f t="shared" si="14"/>
        <v>128</v>
      </c>
      <c r="C262" s="43">
        <f>C256+6*(C266-C256)/10</f>
        <v>2.54918</v>
      </c>
      <c r="D262" s="94">
        <f>D256+6*(D266-D256)/10</f>
        <v>0.0010680800000000001</v>
      </c>
      <c r="E262" s="96">
        <f t="shared" si="12"/>
        <v>0.7079079199999999</v>
      </c>
      <c r="F262" s="43">
        <f>F256+6*(F266-F256)/10</f>
        <v>0.7089759999999999</v>
      </c>
      <c r="G262" s="100">
        <f>G256+6*(G266-G256)/10</f>
        <v>537.78</v>
      </c>
      <c r="H262" s="98">
        <f t="shared" si="13"/>
        <v>2179.3599999999997</v>
      </c>
      <c r="I262" s="100">
        <f>I256+6*(I266-I256)/10</f>
        <v>2717.14</v>
      </c>
      <c r="J262" s="225">
        <f t="shared" si="15"/>
        <v>128</v>
      </c>
      <c r="K262" s="19"/>
    </row>
    <row r="263" spans="2:11" ht="12.75">
      <c r="B263" s="111">
        <f t="shared" si="14"/>
        <v>128.5</v>
      </c>
      <c r="C263" s="43">
        <f>C256+7*(C266-C256)/10</f>
        <v>2.58721</v>
      </c>
      <c r="D263" s="94">
        <f>D256+7*(D266-D256)/10</f>
        <v>0.00106856</v>
      </c>
      <c r="E263" s="96">
        <f aca="true" t="shared" si="16" ref="E263:E326">F263-D263</f>
        <v>0.6976984399999999</v>
      </c>
      <c r="F263" s="43">
        <f>F256+7*(F266-F256)/10</f>
        <v>0.6987669999999999</v>
      </c>
      <c r="G263" s="100">
        <f>G256+7*(G266-G256)/10</f>
        <v>539.91</v>
      </c>
      <c r="H263" s="98">
        <f aca="true" t="shared" si="17" ref="H263:H326">I263-G263</f>
        <v>2177.92</v>
      </c>
      <c r="I263" s="100">
        <f>I256+7*(I266-I256)/10</f>
        <v>2717.83</v>
      </c>
      <c r="J263" s="225">
        <f t="shared" si="15"/>
        <v>128.5</v>
      </c>
      <c r="K263" s="19"/>
    </row>
    <row r="264" spans="2:11" ht="12.75">
      <c r="B264" s="111">
        <f aca="true" t="shared" si="18" ref="B264:B327">B263+0.5</f>
        <v>129</v>
      </c>
      <c r="C264" s="43">
        <f>C256+8*(C266-C256)/10</f>
        <v>2.62524</v>
      </c>
      <c r="D264" s="94">
        <f>D256+8*(D266-D256)/10</f>
        <v>0.00106904</v>
      </c>
      <c r="E264" s="96">
        <f t="shared" si="16"/>
        <v>0.68748896</v>
      </c>
      <c r="F264" s="43">
        <f>F256+8*(F266-F256)/10</f>
        <v>0.688558</v>
      </c>
      <c r="G264" s="100">
        <f>G256+8*(G266-G256)/10</f>
        <v>542.04</v>
      </c>
      <c r="H264" s="98">
        <f t="shared" si="17"/>
        <v>2176.48</v>
      </c>
      <c r="I264" s="100">
        <f>I256+8*(I266-I256)/10</f>
        <v>2718.52</v>
      </c>
      <c r="J264" s="225">
        <f aca="true" t="shared" si="19" ref="J264:J327">J263+0.5</f>
        <v>129</v>
      </c>
      <c r="K264" s="19"/>
    </row>
    <row r="265" spans="2:11" ht="12.75">
      <c r="B265" s="111">
        <f t="shared" si="18"/>
        <v>129.5</v>
      </c>
      <c r="C265" s="43">
        <f>C256+9*(C266-C256)/10</f>
        <v>2.66327</v>
      </c>
      <c r="D265" s="94">
        <f>D256+9*(D266-D256)/10</f>
        <v>0.00106952</v>
      </c>
      <c r="E265" s="96">
        <f t="shared" si="16"/>
        <v>0.6772794799999999</v>
      </c>
      <c r="F265" s="43">
        <f>F256+9*(F266-F256)/10</f>
        <v>0.678349</v>
      </c>
      <c r="G265" s="100">
        <f>G256+9*(G266-G256)/10</f>
        <v>544.17</v>
      </c>
      <c r="H265" s="98">
        <f t="shared" si="17"/>
        <v>2175.04</v>
      </c>
      <c r="I265" s="100">
        <f>I256+9*(I266-I256)/10</f>
        <v>2719.21</v>
      </c>
      <c r="J265" s="225">
        <f t="shared" si="19"/>
        <v>129.5</v>
      </c>
      <c r="K265" s="19"/>
    </row>
    <row r="266" spans="2:11" ht="12.75">
      <c r="B266" s="111">
        <f t="shared" si="18"/>
        <v>130</v>
      </c>
      <c r="C266" s="43">
        <v>2.7013</v>
      </c>
      <c r="D266" s="94">
        <v>0.00107</v>
      </c>
      <c r="E266" s="96">
        <f t="shared" si="16"/>
        <v>0.6670699999999999</v>
      </c>
      <c r="F266" s="43">
        <v>0.66814</v>
      </c>
      <c r="G266" s="100">
        <v>546.3</v>
      </c>
      <c r="H266" s="98">
        <f t="shared" si="17"/>
        <v>2173.6000000000004</v>
      </c>
      <c r="I266" s="100">
        <v>2719.9</v>
      </c>
      <c r="J266" s="225">
        <f t="shared" si="19"/>
        <v>130</v>
      </c>
      <c r="K266" s="19"/>
    </row>
    <row r="267" spans="2:11" ht="12.75">
      <c r="B267" s="111">
        <f t="shared" si="18"/>
        <v>130.5</v>
      </c>
      <c r="C267" s="43">
        <f>C266+1*(C276-C266)/10</f>
        <v>2.7442499999999996</v>
      </c>
      <c r="D267" s="94">
        <f>D266+1*(D276-D266)/10</f>
        <v>0.0010705</v>
      </c>
      <c r="E267" s="96">
        <f t="shared" si="16"/>
        <v>0.6584365</v>
      </c>
      <c r="F267" s="43">
        <f>F266+1*(F276-F266)/10</f>
        <v>0.659507</v>
      </c>
      <c r="G267" s="100">
        <f>G266+1*(G276-G266)/10</f>
        <v>548.4399999999999</v>
      </c>
      <c r="H267" s="98">
        <f t="shared" si="17"/>
        <v>2172.13</v>
      </c>
      <c r="I267" s="100">
        <f>I266+1*(I276-I266)/10</f>
        <v>2720.57</v>
      </c>
      <c r="J267" s="225">
        <f t="shared" si="19"/>
        <v>130.5</v>
      </c>
      <c r="K267" s="19"/>
    </row>
    <row r="268" spans="2:11" ht="12.75">
      <c r="B268" s="111">
        <f t="shared" si="18"/>
        <v>131</v>
      </c>
      <c r="C268" s="43">
        <f>C266+2*(C276-C266)/10</f>
        <v>2.7872</v>
      </c>
      <c r="D268" s="94">
        <f>D266+2*(D276-D266)/10</f>
        <v>0.001071</v>
      </c>
      <c r="E268" s="96">
        <f t="shared" si="16"/>
        <v>0.6498029999999999</v>
      </c>
      <c r="F268" s="43">
        <f>F266+2*(F276-F266)/10</f>
        <v>0.650874</v>
      </c>
      <c r="G268" s="100">
        <f>G266+2*(G276-G266)/10</f>
        <v>550.5799999999999</v>
      </c>
      <c r="H268" s="98">
        <f t="shared" si="17"/>
        <v>2170.6600000000003</v>
      </c>
      <c r="I268" s="100">
        <f>I266+2*(I276-I266)/10</f>
        <v>2721.2400000000002</v>
      </c>
      <c r="J268" s="225">
        <f t="shared" si="19"/>
        <v>131</v>
      </c>
      <c r="K268" s="19"/>
    </row>
    <row r="269" spans="2:11" ht="12.75">
      <c r="B269" s="111">
        <f t="shared" si="18"/>
        <v>131.5</v>
      </c>
      <c r="C269" s="43">
        <f>C266+3*(C276-C266)/10</f>
        <v>2.8301499999999997</v>
      </c>
      <c r="D269" s="94">
        <f>D266+3*(D276-D266)/10</f>
        <v>0.0010715</v>
      </c>
      <c r="E269" s="96">
        <f t="shared" si="16"/>
        <v>0.6411695</v>
      </c>
      <c r="F269" s="43">
        <f>F266+3*(F276-F266)/10</f>
        <v>0.642241</v>
      </c>
      <c r="G269" s="100">
        <f>G266+3*(G276-G266)/10</f>
        <v>552.72</v>
      </c>
      <c r="H269" s="98">
        <f t="shared" si="17"/>
        <v>2169.1899999999996</v>
      </c>
      <c r="I269" s="100">
        <f>I266+3*(I276-I266)/10</f>
        <v>2721.91</v>
      </c>
      <c r="J269" s="225">
        <f t="shared" si="19"/>
        <v>131.5</v>
      </c>
      <c r="K269" s="19"/>
    </row>
    <row r="270" spans="2:11" ht="12.75">
      <c r="B270" s="111">
        <f t="shared" si="18"/>
        <v>132</v>
      </c>
      <c r="C270" s="43">
        <f>C266+4*(C276-C266)/10</f>
        <v>2.8731</v>
      </c>
      <c r="D270" s="94">
        <f>D266+4*(D276-D266)/10</f>
        <v>0.001072</v>
      </c>
      <c r="E270" s="96">
        <f t="shared" si="16"/>
        <v>0.632536</v>
      </c>
      <c r="F270" s="43">
        <f>F266+4*(F276-F266)/10</f>
        <v>0.633608</v>
      </c>
      <c r="G270" s="100">
        <f>G266+4*(G276-G266)/10</f>
        <v>554.86</v>
      </c>
      <c r="H270" s="98">
        <f t="shared" si="17"/>
        <v>2167.72</v>
      </c>
      <c r="I270" s="100">
        <f>I266+4*(I276-I266)/10</f>
        <v>2722.58</v>
      </c>
      <c r="J270" s="225">
        <f t="shared" si="19"/>
        <v>132</v>
      </c>
      <c r="K270" s="19"/>
    </row>
    <row r="271" spans="2:11" ht="12.75">
      <c r="B271" s="111">
        <f t="shared" si="18"/>
        <v>132.5</v>
      </c>
      <c r="C271" s="43">
        <f>C266+5*(C276-C266)/10</f>
        <v>2.91605</v>
      </c>
      <c r="D271" s="94">
        <f>D266+5*(D276-D266)/10</f>
        <v>0.0010725</v>
      </c>
      <c r="E271" s="96">
        <f t="shared" si="16"/>
        <v>0.6239025</v>
      </c>
      <c r="F271" s="43">
        <f>F266+5*(F276-F266)/10</f>
        <v>0.6249750000000001</v>
      </c>
      <c r="G271" s="100">
        <f>G266+5*(G276-G266)/10</f>
        <v>557</v>
      </c>
      <c r="H271" s="98">
        <f t="shared" si="17"/>
        <v>2166.25</v>
      </c>
      <c r="I271" s="100">
        <f>I266+5*(I276-I266)/10</f>
        <v>2723.25</v>
      </c>
      <c r="J271" s="225">
        <f t="shared" si="19"/>
        <v>132.5</v>
      </c>
      <c r="K271" s="19"/>
    </row>
    <row r="272" spans="2:11" ht="12.75">
      <c r="B272" s="111">
        <f t="shared" si="18"/>
        <v>133</v>
      </c>
      <c r="C272" s="43">
        <f>C266+6*(C276-C266)/10</f>
        <v>2.9589999999999996</v>
      </c>
      <c r="D272" s="94">
        <f>D266+6*(D276-D266)/10</f>
        <v>0.001073</v>
      </c>
      <c r="E272" s="96">
        <f t="shared" si="16"/>
        <v>0.6152690000000001</v>
      </c>
      <c r="F272" s="43">
        <f>F266+6*(F276-F266)/10</f>
        <v>0.6163420000000001</v>
      </c>
      <c r="G272" s="100">
        <f>G266+6*(G276-G266)/10</f>
        <v>559.14</v>
      </c>
      <c r="H272" s="98">
        <f t="shared" si="17"/>
        <v>2164.78</v>
      </c>
      <c r="I272" s="100">
        <f>I266+6*(I276-I266)/10</f>
        <v>2723.92</v>
      </c>
      <c r="J272" s="225">
        <f t="shared" si="19"/>
        <v>133</v>
      </c>
      <c r="K272" s="19"/>
    </row>
    <row r="273" spans="2:11" ht="12.75">
      <c r="B273" s="111">
        <f t="shared" si="18"/>
        <v>133.5</v>
      </c>
      <c r="C273" s="43">
        <f>C266+7*(C276-C266)/10</f>
        <v>3.00195</v>
      </c>
      <c r="D273" s="94">
        <f>D266+7*(D276-D266)/10</f>
        <v>0.0010735</v>
      </c>
      <c r="E273" s="96">
        <f t="shared" si="16"/>
        <v>0.6066355000000001</v>
      </c>
      <c r="F273" s="43">
        <f>F266+7*(F276-F266)/10</f>
        <v>0.607709</v>
      </c>
      <c r="G273" s="100">
        <f>G266+7*(G276-G266)/10</f>
        <v>561.28</v>
      </c>
      <c r="H273" s="98">
        <f t="shared" si="17"/>
        <v>2163.3100000000004</v>
      </c>
      <c r="I273" s="100">
        <f>I266+7*(I276-I266)/10</f>
        <v>2724.59</v>
      </c>
      <c r="J273" s="225">
        <f t="shared" si="19"/>
        <v>133.5</v>
      </c>
      <c r="K273" s="19"/>
    </row>
    <row r="274" spans="2:11" ht="12.75">
      <c r="B274" s="111">
        <f t="shared" si="18"/>
        <v>134</v>
      </c>
      <c r="C274" s="43">
        <f>C266+8*(C276-C266)/10</f>
        <v>3.0448999999999997</v>
      </c>
      <c r="D274" s="94">
        <f>D266+8*(D276-D266)/10</f>
        <v>0.001074</v>
      </c>
      <c r="E274" s="96">
        <f t="shared" si="16"/>
        <v>0.598002</v>
      </c>
      <c r="F274" s="43">
        <f>F266+8*(F276-F266)/10</f>
        <v>0.599076</v>
      </c>
      <c r="G274" s="100">
        <f>G266+8*(G276-G266)/10</f>
        <v>563.4200000000001</v>
      </c>
      <c r="H274" s="98">
        <f t="shared" si="17"/>
        <v>2161.8399999999997</v>
      </c>
      <c r="I274" s="100">
        <f>I266+8*(I276-I266)/10</f>
        <v>2725.2599999999998</v>
      </c>
      <c r="J274" s="225">
        <f t="shared" si="19"/>
        <v>134</v>
      </c>
      <c r="K274" s="19"/>
    </row>
    <row r="275" spans="2:11" ht="12.75">
      <c r="B275" s="111">
        <f t="shared" si="18"/>
        <v>134.5</v>
      </c>
      <c r="C275" s="43">
        <f>C266+9*(C276-C266)/10</f>
        <v>3.08785</v>
      </c>
      <c r="D275" s="94">
        <f>D266+9*(D276-D266)/10</f>
        <v>0.0010745</v>
      </c>
      <c r="E275" s="96">
        <f t="shared" si="16"/>
        <v>0.5893685000000001</v>
      </c>
      <c r="F275" s="43">
        <f>F266+9*(F276-F266)/10</f>
        <v>0.590443</v>
      </c>
      <c r="G275" s="100">
        <f>G266+9*(G276-G266)/10</f>
        <v>565.5600000000001</v>
      </c>
      <c r="H275" s="98">
        <f t="shared" si="17"/>
        <v>2160.37</v>
      </c>
      <c r="I275" s="100">
        <f>I266+9*(I276-I266)/10</f>
        <v>2725.93</v>
      </c>
      <c r="J275" s="225">
        <f t="shared" si="19"/>
        <v>134.5</v>
      </c>
      <c r="K275" s="19"/>
    </row>
    <row r="276" spans="2:11" ht="12.75">
      <c r="B276" s="111">
        <f t="shared" si="18"/>
        <v>135</v>
      </c>
      <c r="C276" s="43">
        <v>3.1308</v>
      </c>
      <c r="D276" s="94">
        <v>0.001075</v>
      </c>
      <c r="E276" s="96">
        <f t="shared" si="16"/>
        <v>0.580735</v>
      </c>
      <c r="F276" s="43">
        <v>0.58181</v>
      </c>
      <c r="G276" s="100">
        <v>567.7</v>
      </c>
      <c r="H276" s="98">
        <f t="shared" si="17"/>
        <v>2158.8999999999996</v>
      </c>
      <c r="I276" s="100">
        <v>2726.6</v>
      </c>
      <c r="J276" s="225">
        <f t="shared" si="19"/>
        <v>135</v>
      </c>
      <c r="K276" s="19"/>
    </row>
    <row r="277" spans="2:11" ht="12.75">
      <c r="B277" s="111">
        <f t="shared" si="18"/>
        <v>135.5</v>
      </c>
      <c r="C277" s="43">
        <f>C276+1*(C286-C276)/10</f>
        <v>3.1791</v>
      </c>
      <c r="D277" s="94">
        <f>D276+1*(D286-D276)/10</f>
        <v>0.00107551</v>
      </c>
      <c r="E277" s="96">
        <f t="shared" si="16"/>
        <v>0.5734024900000001</v>
      </c>
      <c r="F277" s="43">
        <f>F276+1*(F286-F276)/10</f>
        <v>0.574478</v>
      </c>
      <c r="G277" s="100">
        <f>G276+1*(G286-G276)/10</f>
        <v>569.84</v>
      </c>
      <c r="H277" s="98">
        <f t="shared" si="17"/>
        <v>2157.41</v>
      </c>
      <c r="I277" s="100">
        <f>I276+1*(I286-I276)/10</f>
        <v>2727.25</v>
      </c>
      <c r="J277" s="225">
        <f t="shared" si="19"/>
        <v>135.5</v>
      </c>
      <c r="K277" s="19"/>
    </row>
    <row r="278" spans="2:11" ht="12.75">
      <c r="B278" s="111">
        <f t="shared" si="18"/>
        <v>136</v>
      </c>
      <c r="C278" s="43">
        <f>C276+2*(C286-C276)/10</f>
        <v>3.2274</v>
      </c>
      <c r="D278" s="94">
        <f>D276+2*(D286-D276)/10</f>
        <v>0.00107602</v>
      </c>
      <c r="E278" s="96">
        <f t="shared" si="16"/>
        <v>0.5660699800000001</v>
      </c>
      <c r="F278" s="43">
        <f>F276+2*(F286-F276)/10</f>
        <v>0.567146</v>
      </c>
      <c r="G278" s="100">
        <f>G276+2*(G286-G276)/10</f>
        <v>571.98</v>
      </c>
      <c r="H278" s="98">
        <f t="shared" si="17"/>
        <v>2155.92</v>
      </c>
      <c r="I278" s="100">
        <f>I276+2*(I286-I276)/10</f>
        <v>2727.9</v>
      </c>
      <c r="J278" s="225">
        <f t="shared" si="19"/>
        <v>136</v>
      </c>
      <c r="K278" s="19"/>
    </row>
    <row r="279" spans="2:11" ht="12.75">
      <c r="B279" s="111">
        <f t="shared" si="18"/>
        <v>136.5</v>
      </c>
      <c r="C279" s="43">
        <f>C276+3*(C286-C276)/10</f>
        <v>3.2756999999999996</v>
      </c>
      <c r="D279" s="94">
        <f>D276+3*(D286-D276)/10</f>
        <v>0.00107653</v>
      </c>
      <c r="E279" s="96">
        <f t="shared" si="16"/>
        <v>0.5587374700000001</v>
      </c>
      <c r="F279" s="43">
        <f>F276+3*(F286-F276)/10</f>
        <v>0.559814</v>
      </c>
      <c r="G279" s="100">
        <f>G276+3*(G286-G276)/10</f>
        <v>574.12</v>
      </c>
      <c r="H279" s="98">
        <f t="shared" si="17"/>
        <v>2154.43</v>
      </c>
      <c r="I279" s="100">
        <f>I276+3*(I286-I276)/10</f>
        <v>2728.5499999999997</v>
      </c>
      <c r="J279" s="225">
        <f t="shared" si="19"/>
        <v>136.5</v>
      </c>
      <c r="K279" s="19"/>
    </row>
    <row r="280" spans="2:11" ht="12.75">
      <c r="B280" s="111">
        <f t="shared" si="18"/>
        <v>137</v>
      </c>
      <c r="C280" s="43">
        <f>C276+4*(C286-C276)/10</f>
        <v>3.324</v>
      </c>
      <c r="D280" s="94">
        <f>D276+4*(D286-D276)/10</f>
        <v>0.00107704</v>
      </c>
      <c r="E280" s="96">
        <f t="shared" si="16"/>
        <v>0.55140496</v>
      </c>
      <c r="F280" s="43">
        <f>F276+4*(F286-F276)/10</f>
        <v>0.552482</v>
      </c>
      <c r="G280" s="100">
        <f>G276+4*(G286-G276)/10</f>
        <v>576.26</v>
      </c>
      <c r="H280" s="98">
        <f t="shared" si="17"/>
        <v>2152.9399999999996</v>
      </c>
      <c r="I280" s="100">
        <f>I276+4*(I286-I276)/10</f>
        <v>2729.2</v>
      </c>
      <c r="J280" s="225">
        <f t="shared" si="19"/>
        <v>137</v>
      </c>
      <c r="K280" s="19"/>
    </row>
    <row r="281" spans="2:11" ht="12.75">
      <c r="B281" s="111">
        <f t="shared" si="18"/>
        <v>137.5</v>
      </c>
      <c r="C281" s="43">
        <f>C276+5*(C286-C276)/10</f>
        <v>3.3723</v>
      </c>
      <c r="D281" s="94">
        <f>D276+5*(D286-D276)/10</f>
        <v>0.00107755</v>
      </c>
      <c r="E281" s="96">
        <f t="shared" si="16"/>
        <v>0.54407245</v>
      </c>
      <c r="F281" s="43">
        <f>F276+5*(F286-F276)/10</f>
        <v>0.54515</v>
      </c>
      <c r="G281" s="100">
        <f>G276+5*(G286-G276)/10</f>
        <v>578.4000000000001</v>
      </c>
      <c r="H281" s="98">
        <f t="shared" si="17"/>
        <v>2151.45</v>
      </c>
      <c r="I281" s="100">
        <f>I276+5*(I286-I276)/10</f>
        <v>2729.85</v>
      </c>
      <c r="J281" s="225">
        <f t="shared" si="19"/>
        <v>137.5</v>
      </c>
      <c r="K281" s="19"/>
    </row>
    <row r="282" spans="2:11" ht="12.75">
      <c r="B282" s="111">
        <f t="shared" si="18"/>
        <v>138</v>
      </c>
      <c r="C282" s="43">
        <f>C276+6*(C286-C276)/10</f>
        <v>3.4206</v>
      </c>
      <c r="D282" s="94">
        <f>D276+6*(D286-D276)/10</f>
        <v>0.00107806</v>
      </c>
      <c r="E282" s="96">
        <f t="shared" si="16"/>
        <v>0.53673994</v>
      </c>
      <c r="F282" s="43">
        <f>F276+6*(F286-F276)/10</f>
        <v>0.537818</v>
      </c>
      <c r="G282" s="100">
        <f>G276+6*(G286-G276)/10</f>
        <v>580.5400000000001</v>
      </c>
      <c r="H282" s="98">
        <f t="shared" si="17"/>
        <v>2149.96</v>
      </c>
      <c r="I282" s="100">
        <f>I276+6*(I286-I276)/10</f>
        <v>2730.5</v>
      </c>
      <c r="J282" s="225">
        <f t="shared" si="19"/>
        <v>138</v>
      </c>
      <c r="K282" s="19"/>
    </row>
    <row r="283" spans="2:11" ht="12.75">
      <c r="B283" s="111">
        <f t="shared" si="18"/>
        <v>138.5</v>
      </c>
      <c r="C283" s="43">
        <f>C276+7*(C286-C276)/10</f>
        <v>3.4688999999999997</v>
      </c>
      <c r="D283" s="94">
        <f>D276+7*(D286-D276)/10</f>
        <v>0.00107857</v>
      </c>
      <c r="E283" s="96">
        <f t="shared" si="16"/>
        <v>0.52940743</v>
      </c>
      <c r="F283" s="43">
        <f>F276+7*(F286-F276)/10</f>
        <v>0.530486</v>
      </c>
      <c r="G283" s="100">
        <f>G276+7*(G286-G276)/10</f>
        <v>582.6800000000001</v>
      </c>
      <c r="H283" s="98">
        <f t="shared" si="17"/>
        <v>2148.4700000000003</v>
      </c>
      <c r="I283" s="100">
        <f>I276+7*(I286-I276)/10</f>
        <v>2731.15</v>
      </c>
      <c r="J283" s="225">
        <f t="shared" si="19"/>
        <v>138.5</v>
      </c>
      <c r="K283" s="19"/>
    </row>
    <row r="284" spans="2:11" ht="12.75">
      <c r="B284" s="111">
        <f t="shared" si="18"/>
        <v>139</v>
      </c>
      <c r="C284" s="43">
        <f>C276+8*(C286-C276)/10</f>
        <v>3.5172</v>
      </c>
      <c r="D284" s="94">
        <f>D276+8*(D286-D276)/10</f>
        <v>0.00107908</v>
      </c>
      <c r="E284" s="96">
        <f t="shared" si="16"/>
        <v>0.52207492</v>
      </c>
      <c r="F284" s="43">
        <f>F276+8*(F286-F276)/10</f>
        <v>0.523154</v>
      </c>
      <c r="G284" s="100">
        <f>G276+8*(G286-G276)/10</f>
        <v>584.82</v>
      </c>
      <c r="H284" s="98">
        <f t="shared" si="17"/>
        <v>2146.9799999999996</v>
      </c>
      <c r="I284" s="100">
        <f>I276+8*(I286-I276)/10</f>
        <v>2731.7999999999997</v>
      </c>
      <c r="J284" s="225">
        <f t="shared" si="19"/>
        <v>139</v>
      </c>
      <c r="K284" s="19"/>
    </row>
    <row r="285" spans="2:11" ht="12.75">
      <c r="B285" s="111">
        <f t="shared" si="18"/>
        <v>139.5</v>
      </c>
      <c r="C285" s="43">
        <f>C276+9*(C286-C276)/10</f>
        <v>3.5655</v>
      </c>
      <c r="D285" s="94">
        <f>D276+9*(D286-D276)/10</f>
        <v>0.00107959</v>
      </c>
      <c r="E285" s="96">
        <f t="shared" si="16"/>
        <v>0.51474241</v>
      </c>
      <c r="F285" s="43">
        <f>F276+9*(F286-F276)/10</f>
        <v>0.515822</v>
      </c>
      <c r="G285" s="100">
        <f>G276+9*(G286-G276)/10</f>
        <v>586.96</v>
      </c>
      <c r="H285" s="98">
        <f t="shared" si="17"/>
        <v>2145.49</v>
      </c>
      <c r="I285" s="100">
        <f>I276+9*(I286-I276)/10</f>
        <v>2732.45</v>
      </c>
      <c r="J285" s="225">
        <f t="shared" si="19"/>
        <v>139.5</v>
      </c>
      <c r="K285" s="19"/>
    </row>
    <row r="286" spans="2:11" ht="12.75">
      <c r="B286" s="111">
        <f t="shared" si="18"/>
        <v>140</v>
      </c>
      <c r="C286" s="43">
        <v>3.6138</v>
      </c>
      <c r="D286" s="94">
        <v>0.0010801</v>
      </c>
      <c r="E286" s="96">
        <f t="shared" si="16"/>
        <v>0.5074099</v>
      </c>
      <c r="F286" s="43">
        <v>0.50849</v>
      </c>
      <c r="G286" s="100">
        <v>589.1</v>
      </c>
      <c r="H286" s="98">
        <f t="shared" si="17"/>
        <v>2144</v>
      </c>
      <c r="I286" s="100">
        <v>2733.1</v>
      </c>
      <c r="J286" s="225">
        <f t="shared" si="19"/>
        <v>140</v>
      </c>
      <c r="K286" s="19"/>
    </row>
    <row r="287" spans="2:11" ht="12.75">
      <c r="B287" s="111">
        <f t="shared" si="18"/>
        <v>140.5</v>
      </c>
      <c r="C287" s="43">
        <f>C286+1*(C296-C286)/10</f>
        <v>3.6679399999999998</v>
      </c>
      <c r="D287" s="94">
        <f>D286+1*(D296-D286)/10</f>
        <v>0.00108062</v>
      </c>
      <c r="E287" s="96">
        <f t="shared" si="16"/>
        <v>0.50115738</v>
      </c>
      <c r="F287" s="43">
        <f>F286+1*(F296-F286)/10</f>
        <v>0.502238</v>
      </c>
      <c r="G287" s="100">
        <f>G286+1*(G296-G286)/10</f>
        <v>591.25</v>
      </c>
      <c r="H287" s="98">
        <f t="shared" si="17"/>
        <v>2142.47</v>
      </c>
      <c r="I287" s="100">
        <f>I286+1*(I296-I286)/10</f>
        <v>2733.72</v>
      </c>
      <c r="J287" s="225">
        <f t="shared" si="19"/>
        <v>140.5</v>
      </c>
      <c r="K287" s="19"/>
    </row>
    <row r="288" spans="2:11" ht="12.75">
      <c r="B288" s="111">
        <f t="shared" si="18"/>
        <v>141</v>
      </c>
      <c r="C288" s="43">
        <f>C286+2*(C296-C286)/10</f>
        <v>3.72208</v>
      </c>
      <c r="D288" s="94">
        <f>D286+2*(D296-D286)/10</f>
        <v>0.00108114</v>
      </c>
      <c r="E288" s="96">
        <f t="shared" si="16"/>
        <v>0.49490486</v>
      </c>
      <c r="F288" s="43">
        <f>F286+2*(F296-F286)/10</f>
        <v>0.495986</v>
      </c>
      <c r="G288" s="100">
        <f>G286+2*(G296-G286)/10</f>
        <v>593.4</v>
      </c>
      <c r="H288" s="98">
        <f t="shared" si="17"/>
        <v>2140.94</v>
      </c>
      <c r="I288" s="100">
        <f>I286+2*(I296-I286)/10</f>
        <v>2734.34</v>
      </c>
      <c r="J288" s="225">
        <f t="shared" si="19"/>
        <v>141</v>
      </c>
      <c r="K288" s="19"/>
    </row>
    <row r="289" spans="2:11" ht="12.75">
      <c r="B289" s="111">
        <f t="shared" si="18"/>
        <v>141.5</v>
      </c>
      <c r="C289" s="43">
        <f>C286+3*(C296-C286)/10</f>
        <v>3.77622</v>
      </c>
      <c r="D289" s="94">
        <f>D286+3*(D296-D286)/10</f>
        <v>0.0010816600000000001</v>
      </c>
      <c r="E289" s="96">
        <f t="shared" si="16"/>
        <v>0.48865234</v>
      </c>
      <c r="F289" s="43">
        <f>F286+3*(F296-F286)/10</f>
        <v>0.489734</v>
      </c>
      <c r="G289" s="100">
        <f>G286+3*(G296-G286)/10</f>
        <v>595.5500000000001</v>
      </c>
      <c r="H289" s="98">
        <f t="shared" si="17"/>
        <v>2139.41</v>
      </c>
      <c r="I289" s="100">
        <f>I286+3*(I296-I286)/10</f>
        <v>2734.96</v>
      </c>
      <c r="J289" s="225">
        <f t="shared" si="19"/>
        <v>141.5</v>
      </c>
      <c r="K289" s="19"/>
    </row>
    <row r="290" spans="2:11" ht="12.75">
      <c r="B290" s="111">
        <f t="shared" si="18"/>
        <v>142</v>
      </c>
      <c r="C290" s="43">
        <f>C286+4*(C296-C286)/10</f>
        <v>3.8303599999999998</v>
      </c>
      <c r="D290" s="94">
        <f>D286+4*(D296-D286)/10</f>
        <v>0.00108218</v>
      </c>
      <c r="E290" s="96">
        <f t="shared" si="16"/>
        <v>0.48239982</v>
      </c>
      <c r="F290" s="43">
        <f>F286+4*(F296-F286)/10</f>
        <v>0.48348199999999997</v>
      </c>
      <c r="G290" s="100">
        <f>G286+4*(G296-G286)/10</f>
        <v>597.7</v>
      </c>
      <c r="H290" s="98">
        <f t="shared" si="17"/>
        <v>2137.88</v>
      </c>
      <c r="I290" s="100">
        <f>I286+4*(I296-I286)/10</f>
        <v>2735.58</v>
      </c>
      <c r="J290" s="225">
        <f t="shared" si="19"/>
        <v>142</v>
      </c>
      <c r="K290" s="19"/>
    </row>
    <row r="291" spans="2:11" ht="12.75">
      <c r="B291" s="111">
        <f t="shared" si="18"/>
        <v>142.5</v>
      </c>
      <c r="C291" s="43">
        <f>C286+5*(C296-C286)/10</f>
        <v>3.8845</v>
      </c>
      <c r="D291" s="94">
        <f>D286+5*(D296-D286)/10</f>
        <v>0.0010827</v>
      </c>
      <c r="E291" s="96">
        <f t="shared" si="16"/>
        <v>0.4761473</v>
      </c>
      <c r="F291" s="43">
        <f>F286+5*(F296-F286)/10</f>
        <v>0.47723</v>
      </c>
      <c r="G291" s="100">
        <f>G286+5*(G296-G286)/10</f>
        <v>599.85</v>
      </c>
      <c r="H291" s="98">
        <f t="shared" si="17"/>
        <v>2136.35</v>
      </c>
      <c r="I291" s="100">
        <f>I286+5*(I296-I286)/10</f>
        <v>2736.2</v>
      </c>
      <c r="J291" s="225">
        <f t="shared" si="19"/>
        <v>142.5</v>
      </c>
      <c r="K291" s="19"/>
    </row>
    <row r="292" spans="2:11" ht="12.75">
      <c r="B292" s="111">
        <f t="shared" si="18"/>
        <v>143</v>
      </c>
      <c r="C292" s="43">
        <f>C286+6*(C296-C286)/10</f>
        <v>3.93864</v>
      </c>
      <c r="D292" s="94">
        <f>D286+6*(D296-D286)/10</f>
        <v>0.00108322</v>
      </c>
      <c r="E292" s="96">
        <f t="shared" si="16"/>
        <v>0.46989478</v>
      </c>
      <c r="F292" s="43">
        <f>F286+6*(F296-F286)/10</f>
        <v>0.470978</v>
      </c>
      <c r="G292" s="100">
        <f>G286+6*(G296-G286)/10</f>
        <v>602</v>
      </c>
      <c r="H292" s="98">
        <f t="shared" si="17"/>
        <v>2134.82</v>
      </c>
      <c r="I292" s="100">
        <f>I286+6*(I296-I286)/10</f>
        <v>2736.82</v>
      </c>
      <c r="J292" s="225">
        <f t="shared" si="19"/>
        <v>143</v>
      </c>
      <c r="K292" s="19"/>
    </row>
    <row r="293" spans="2:11" ht="12.75">
      <c r="B293" s="111">
        <f t="shared" si="18"/>
        <v>143.5</v>
      </c>
      <c r="C293" s="43">
        <f>C286+7*(C296-C286)/10</f>
        <v>3.9927799999999998</v>
      </c>
      <c r="D293" s="94">
        <f>D286+7*(D296-D286)/10</f>
        <v>0.00108374</v>
      </c>
      <c r="E293" s="96">
        <f t="shared" si="16"/>
        <v>0.46364226</v>
      </c>
      <c r="F293" s="43">
        <f>F286+7*(F296-F286)/10</f>
        <v>0.464726</v>
      </c>
      <c r="G293" s="100">
        <f>G286+7*(G296-G286)/10</f>
        <v>604.15</v>
      </c>
      <c r="H293" s="98">
        <f t="shared" si="17"/>
        <v>2133.29</v>
      </c>
      <c r="I293" s="100">
        <f>I286+7*(I296-I286)/10</f>
        <v>2737.44</v>
      </c>
      <c r="J293" s="225">
        <f t="shared" si="19"/>
        <v>143.5</v>
      </c>
      <c r="K293" s="19"/>
    </row>
    <row r="294" spans="2:11" ht="12.75">
      <c r="B294" s="111">
        <f t="shared" si="18"/>
        <v>144</v>
      </c>
      <c r="C294" s="43">
        <f>C286+8*(C296-C286)/10</f>
        <v>4.04692</v>
      </c>
      <c r="D294" s="94">
        <f>D286+8*(D296-D286)/10</f>
        <v>0.00108426</v>
      </c>
      <c r="E294" s="96">
        <f t="shared" si="16"/>
        <v>0.45738974</v>
      </c>
      <c r="F294" s="43">
        <f>F286+8*(F296-F286)/10</f>
        <v>0.458474</v>
      </c>
      <c r="G294" s="100">
        <f>G286+8*(G296-G286)/10</f>
        <v>606.3000000000001</v>
      </c>
      <c r="H294" s="98">
        <f t="shared" si="17"/>
        <v>2131.7599999999998</v>
      </c>
      <c r="I294" s="100">
        <f>I286+8*(I296-I286)/10</f>
        <v>2738.06</v>
      </c>
      <c r="J294" s="225">
        <f t="shared" si="19"/>
        <v>144</v>
      </c>
      <c r="K294" s="19"/>
    </row>
    <row r="295" spans="2:11" ht="12.75">
      <c r="B295" s="111">
        <f t="shared" si="18"/>
        <v>144.5</v>
      </c>
      <c r="C295" s="43">
        <f>C286+9*(C296-C286)/10</f>
        <v>4.1010599999999995</v>
      </c>
      <c r="D295" s="94">
        <f>D286+9*(D296-D286)/10</f>
        <v>0.00108478</v>
      </c>
      <c r="E295" s="96">
        <f t="shared" si="16"/>
        <v>0.45113721999999995</v>
      </c>
      <c r="F295" s="43">
        <f>F286+9*(F296-F286)/10</f>
        <v>0.45222199999999996</v>
      </c>
      <c r="G295" s="100">
        <f>G286+9*(G296-G286)/10</f>
        <v>608.45</v>
      </c>
      <c r="H295" s="98">
        <f t="shared" si="17"/>
        <v>2130.2300000000005</v>
      </c>
      <c r="I295" s="100">
        <f>I286+9*(I296-I286)/10</f>
        <v>2738.6800000000003</v>
      </c>
      <c r="J295" s="225">
        <f t="shared" si="19"/>
        <v>144.5</v>
      </c>
      <c r="K295" s="19"/>
    </row>
    <row r="296" spans="2:11" ht="12.75">
      <c r="B296" s="111">
        <f t="shared" si="18"/>
        <v>145</v>
      </c>
      <c r="C296" s="43">
        <v>4.1552</v>
      </c>
      <c r="D296" s="94">
        <v>0.0010853</v>
      </c>
      <c r="E296" s="96">
        <f t="shared" si="16"/>
        <v>0.44488469999999997</v>
      </c>
      <c r="F296" s="43">
        <v>0.44597</v>
      </c>
      <c r="G296" s="100">
        <v>610.6</v>
      </c>
      <c r="H296" s="98">
        <f t="shared" si="17"/>
        <v>2128.7000000000003</v>
      </c>
      <c r="I296" s="100">
        <v>2739.3</v>
      </c>
      <c r="J296" s="225">
        <f t="shared" si="19"/>
        <v>145</v>
      </c>
      <c r="K296" s="19"/>
    </row>
    <row r="297" spans="2:11" ht="12.75">
      <c r="B297" s="111">
        <f t="shared" si="18"/>
        <v>145.5</v>
      </c>
      <c r="C297" s="43">
        <f>C296+1*(C306-C296)/10</f>
        <v>4.21568</v>
      </c>
      <c r="D297" s="94">
        <f>D296+1*(D306-D296)/10</f>
        <v>0.00108585</v>
      </c>
      <c r="E297" s="96">
        <f t="shared" si="16"/>
        <v>0.43953214999999995</v>
      </c>
      <c r="F297" s="43">
        <f>F296+1*(F306-F296)/10</f>
        <v>0.44061799999999995</v>
      </c>
      <c r="G297" s="100">
        <f>G296+1*(G306-G296)/10</f>
        <v>612.75</v>
      </c>
      <c r="H297" s="98">
        <f t="shared" si="17"/>
        <v>2127.1600000000003</v>
      </c>
      <c r="I297" s="100">
        <f>I296+1*(I306-I296)/10</f>
        <v>2739.9100000000003</v>
      </c>
      <c r="J297" s="225">
        <f t="shared" si="19"/>
        <v>145.5</v>
      </c>
      <c r="K297" s="19"/>
    </row>
    <row r="298" spans="2:11" ht="12.75">
      <c r="B298" s="111">
        <f t="shared" si="18"/>
        <v>146</v>
      </c>
      <c r="C298" s="43">
        <f>C296+2*(C306-C296)/10</f>
        <v>4.27616</v>
      </c>
      <c r="D298" s="94">
        <f>D296+2*(D306-D296)/10</f>
        <v>0.0010864</v>
      </c>
      <c r="E298" s="96">
        <f t="shared" si="16"/>
        <v>0.4341796</v>
      </c>
      <c r="F298" s="43">
        <f>F296+2*(F306-F296)/10</f>
        <v>0.435266</v>
      </c>
      <c r="G298" s="100">
        <f>G296+2*(G306-G296)/10</f>
        <v>614.9</v>
      </c>
      <c r="H298" s="98">
        <f t="shared" si="17"/>
        <v>2125.62</v>
      </c>
      <c r="I298" s="100">
        <f>I296+2*(I306-I296)/10</f>
        <v>2740.52</v>
      </c>
      <c r="J298" s="225">
        <f t="shared" si="19"/>
        <v>146</v>
      </c>
      <c r="K298" s="19"/>
    </row>
    <row r="299" spans="2:11" ht="12.75">
      <c r="B299" s="111">
        <f t="shared" si="18"/>
        <v>146.5</v>
      </c>
      <c r="C299" s="43">
        <f>C296+3*(C306-C296)/10</f>
        <v>4.33664</v>
      </c>
      <c r="D299" s="94">
        <f>D296+3*(D306-D296)/10</f>
        <v>0.00108695</v>
      </c>
      <c r="E299" s="96">
        <f t="shared" si="16"/>
        <v>0.42882705000000004</v>
      </c>
      <c r="F299" s="43">
        <f>F296+3*(F306-F296)/10</f>
        <v>0.429914</v>
      </c>
      <c r="G299" s="100">
        <f>G296+3*(G306-G296)/10</f>
        <v>617.0500000000001</v>
      </c>
      <c r="H299" s="98">
        <f t="shared" si="17"/>
        <v>2124.08</v>
      </c>
      <c r="I299" s="100">
        <f>I296+3*(I306-I296)/10</f>
        <v>2741.13</v>
      </c>
      <c r="J299" s="225">
        <f t="shared" si="19"/>
        <v>146.5</v>
      </c>
      <c r="K299" s="19"/>
    </row>
    <row r="300" spans="2:11" ht="12.75">
      <c r="B300" s="111">
        <f t="shared" si="18"/>
        <v>147</v>
      </c>
      <c r="C300" s="43">
        <f>C296+4*(C306-C296)/10</f>
        <v>4.39712</v>
      </c>
      <c r="D300" s="94">
        <f>D296+4*(D306-D296)/10</f>
        <v>0.0010875</v>
      </c>
      <c r="E300" s="96">
        <f t="shared" si="16"/>
        <v>0.4234745</v>
      </c>
      <c r="F300" s="43">
        <f>F296+4*(F306-F296)/10</f>
        <v>0.424562</v>
      </c>
      <c r="G300" s="100">
        <f>G296+4*(G306-G296)/10</f>
        <v>619.2</v>
      </c>
      <c r="H300" s="98">
        <f t="shared" si="17"/>
        <v>2122.54</v>
      </c>
      <c r="I300" s="100">
        <f>I296+4*(I306-I296)/10</f>
        <v>2741.7400000000002</v>
      </c>
      <c r="J300" s="225">
        <f t="shared" si="19"/>
        <v>147</v>
      </c>
      <c r="K300" s="19"/>
    </row>
    <row r="301" spans="2:11" ht="12.75">
      <c r="B301" s="111">
        <f t="shared" si="18"/>
        <v>147.5</v>
      </c>
      <c r="C301" s="43">
        <f>C296+5*(C306-C296)/10</f>
        <v>4.457599999999999</v>
      </c>
      <c r="D301" s="94">
        <f>D296+5*(D306-D296)/10</f>
        <v>0.0010880500000000001</v>
      </c>
      <c r="E301" s="96">
        <f t="shared" si="16"/>
        <v>0.41812194999999996</v>
      </c>
      <c r="F301" s="43">
        <f>F296+5*(F306-F296)/10</f>
        <v>0.41920999999999997</v>
      </c>
      <c r="G301" s="100">
        <f>G296+5*(G306-G296)/10</f>
        <v>621.35</v>
      </c>
      <c r="H301" s="98">
        <f t="shared" si="17"/>
        <v>2121.0000000000005</v>
      </c>
      <c r="I301" s="100">
        <f>I296+5*(I306-I296)/10</f>
        <v>2742.3500000000004</v>
      </c>
      <c r="J301" s="225">
        <f t="shared" si="19"/>
        <v>147.5</v>
      </c>
      <c r="K301" s="19"/>
    </row>
    <row r="302" spans="2:11" ht="12.75">
      <c r="B302" s="111">
        <f t="shared" si="18"/>
        <v>148</v>
      </c>
      <c r="C302" s="43">
        <f>C296+6*(C306-C296)/10</f>
        <v>4.518079999999999</v>
      </c>
      <c r="D302" s="94">
        <f>D296+6*(D306-D296)/10</f>
        <v>0.0010886000000000001</v>
      </c>
      <c r="E302" s="96">
        <f t="shared" si="16"/>
        <v>0.4127694</v>
      </c>
      <c r="F302" s="43">
        <f>F296+6*(F306-F296)/10</f>
        <v>0.413858</v>
      </c>
      <c r="G302" s="100">
        <f>G296+6*(G306-G296)/10</f>
        <v>623.5</v>
      </c>
      <c r="H302" s="98">
        <f t="shared" si="17"/>
        <v>2119.46</v>
      </c>
      <c r="I302" s="100">
        <f>I296+6*(I306-I296)/10</f>
        <v>2742.96</v>
      </c>
      <c r="J302" s="225">
        <f t="shared" si="19"/>
        <v>148</v>
      </c>
      <c r="K302" s="19"/>
    </row>
    <row r="303" spans="2:11" ht="12.75">
      <c r="B303" s="111">
        <f t="shared" si="18"/>
        <v>148.5</v>
      </c>
      <c r="C303" s="43">
        <f>C296+7*(C306-C296)/10</f>
        <v>4.5785599999999995</v>
      </c>
      <c r="D303" s="94">
        <f>D296+7*(D306-D296)/10</f>
        <v>0.00108915</v>
      </c>
      <c r="E303" s="96">
        <f t="shared" si="16"/>
        <v>0.40741685000000005</v>
      </c>
      <c r="F303" s="43">
        <f>F296+7*(F306-F296)/10</f>
        <v>0.40850600000000004</v>
      </c>
      <c r="G303" s="100">
        <f>G296+7*(G306-G296)/10</f>
        <v>625.65</v>
      </c>
      <c r="H303" s="98">
        <f t="shared" si="17"/>
        <v>2117.92</v>
      </c>
      <c r="I303" s="100">
        <f>I296+7*(I306-I296)/10</f>
        <v>2743.57</v>
      </c>
      <c r="J303" s="225">
        <f t="shared" si="19"/>
        <v>148.5</v>
      </c>
      <c r="K303" s="19"/>
    </row>
    <row r="304" spans="2:11" ht="12.75">
      <c r="B304" s="111">
        <f t="shared" si="18"/>
        <v>149</v>
      </c>
      <c r="C304" s="43">
        <f>C296+8*(C306-C296)/10</f>
        <v>4.63904</v>
      </c>
      <c r="D304" s="94">
        <f>D296+8*(D306-D296)/10</f>
        <v>0.0010897</v>
      </c>
      <c r="E304" s="96">
        <f t="shared" si="16"/>
        <v>0.4020643</v>
      </c>
      <c r="F304" s="43">
        <f>F296+8*(F306-F296)/10</f>
        <v>0.403154</v>
      </c>
      <c r="G304" s="100">
        <f>G296+8*(G306-G296)/10</f>
        <v>627.8000000000001</v>
      </c>
      <c r="H304" s="98">
        <f t="shared" si="17"/>
        <v>2116.38</v>
      </c>
      <c r="I304" s="100">
        <f>I296+8*(I306-I296)/10</f>
        <v>2744.1800000000003</v>
      </c>
      <c r="J304" s="225">
        <f t="shared" si="19"/>
        <v>149</v>
      </c>
      <c r="K304" s="19"/>
    </row>
    <row r="305" spans="2:11" ht="12.75">
      <c r="B305" s="111">
        <f t="shared" si="18"/>
        <v>149.5</v>
      </c>
      <c r="C305" s="43">
        <f>C296+9*(C306-C296)/10</f>
        <v>4.69952</v>
      </c>
      <c r="D305" s="94">
        <f>D296+9*(D306-D296)/10</f>
        <v>0.00109025</v>
      </c>
      <c r="E305" s="96">
        <f t="shared" si="16"/>
        <v>0.39671175</v>
      </c>
      <c r="F305" s="43">
        <f>F296+9*(F306-F296)/10</f>
        <v>0.397802</v>
      </c>
      <c r="G305" s="100">
        <f>G296+9*(G306-G296)/10</f>
        <v>629.95</v>
      </c>
      <c r="H305" s="98">
        <f t="shared" si="17"/>
        <v>2114.84</v>
      </c>
      <c r="I305" s="100">
        <f>I296+9*(I306-I296)/10</f>
        <v>2744.79</v>
      </c>
      <c r="J305" s="225">
        <f t="shared" si="19"/>
        <v>149.5</v>
      </c>
      <c r="K305" s="19"/>
    </row>
    <row r="306" spans="2:11" ht="12.75">
      <c r="B306" s="111">
        <f t="shared" si="18"/>
        <v>150</v>
      </c>
      <c r="C306" s="43">
        <v>4.76</v>
      </c>
      <c r="D306" s="94">
        <v>0.0010908</v>
      </c>
      <c r="E306" s="96">
        <f t="shared" si="16"/>
        <v>0.3913592</v>
      </c>
      <c r="F306" s="43">
        <v>0.39245</v>
      </c>
      <c r="G306" s="100">
        <v>632.1</v>
      </c>
      <c r="H306" s="98">
        <f t="shared" si="17"/>
        <v>2113.3</v>
      </c>
      <c r="I306" s="100">
        <v>2745.4</v>
      </c>
      <c r="J306" s="225">
        <f t="shared" si="19"/>
        <v>150</v>
      </c>
      <c r="K306" s="19"/>
    </row>
    <row r="307" spans="2:11" ht="12.75">
      <c r="B307" s="111">
        <f t="shared" si="18"/>
        <v>150.5</v>
      </c>
      <c r="C307" s="43">
        <f>C306+1*(C316-C306)/10</f>
        <v>4.827332999999999</v>
      </c>
      <c r="D307" s="94">
        <f>D306+1*(D316-D306)/10</f>
        <v>0.00109136</v>
      </c>
      <c r="E307" s="96">
        <f t="shared" si="16"/>
        <v>0.38675764</v>
      </c>
      <c r="F307" s="43">
        <f>F306+1*(F316-F306)/10</f>
        <v>0.387849</v>
      </c>
      <c r="G307" s="100">
        <f>G306+1*(G316-G306)/10</f>
        <v>634.27</v>
      </c>
      <c r="H307" s="98">
        <f t="shared" si="17"/>
        <v>2111.71</v>
      </c>
      <c r="I307" s="100">
        <f>I306+1*(I316-I306)/10</f>
        <v>2745.98</v>
      </c>
      <c r="J307" s="225">
        <f t="shared" si="19"/>
        <v>150.5</v>
      </c>
      <c r="K307" s="19"/>
    </row>
    <row r="308" spans="2:11" ht="12.75">
      <c r="B308" s="111">
        <f t="shared" si="18"/>
        <v>151</v>
      </c>
      <c r="C308" s="43">
        <f>C306+2*(C316-C306)/10</f>
        <v>4.894666</v>
      </c>
      <c r="D308" s="94">
        <f>D306+2*(D316-D306)/10</f>
        <v>0.0010919200000000001</v>
      </c>
      <c r="E308" s="96">
        <f t="shared" si="16"/>
        <v>0.38215608</v>
      </c>
      <c r="F308" s="43">
        <f>F306+2*(F316-F306)/10</f>
        <v>0.38324800000000003</v>
      </c>
      <c r="G308" s="100">
        <f>G306+2*(G316-G306)/10</f>
        <v>636.44</v>
      </c>
      <c r="H308" s="98">
        <f t="shared" si="17"/>
        <v>2110.12</v>
      </c>
      <c r="I308" s="100">
        <f>I306+2*(I316-I306)/10</f>
        <v>2746.56</v>
      </c>
      <c r="J308" s="225">
        <f t="shared" si="19"/>
        <v>151</v>
      </c>
      <c r="K308" s="19"/>
    </row>
    <row r="309" spans="2:11" ht="12.75">
      <c r="B309" s="111">
        <f t="shared" si="18"/>
        <v>151.5</v>
      </c>
      <c r="C309" s="43">
        <f>C306+3*(C316-C306)/10</f>
        <v>4.961999</v>
      </c>
      <c r="D309" s="94">
        <f>D306+3*(D316-D306)/10</f>
        <v>0.00109248</v>
      </c>
      <c r="E309" s="96">
        <f t="shared" si="16"/>
        <v>0.37755452</v>
      </c>
      <c r="F309" s="43">
        <f>F306+3*(F316-F306)/10</f>
        <v>0.378647</v>
      </c>
      <c r="G309" s="100">
        <f>G306+3*(G316-G306)/10</f>
        <v>638.61</v>
      </c>
      <c r="H309" s="98">
        <f t="shared" si="17"/>
        <v>2108.5299999999997</v>
      </c>
      <c r="I309" s="100">
        <f>I306+3*(I316-I306)/10</f>
        <v>2747.14</v>
      </c>
      <c r="J309" s="225">
        <f t="shared" si="19"/>
        <v>151.5</v>
      </c>
      <c r="K309" s="19"/>
    </row>
    <row r="310" spans="2:11" ht="12.75">
      <c r="B310" s="111">
        <f t="shared" si="18"/>
        <v>152</v>
      </c>
      <c r="C310" s="43">
        <f>C306+4*(C316-C306)/10</f>
        <v>5.029332</v>
      </c>
      <c r="D310" s="94">
        <f>D306+4*(D316-D306)/10</f>
        <v>0.00109304</v>
      </c>
      <c r="E310" s="96">
        <f t="shared" si="16"/>
        <v>0.37295296000000006</v>
      </c>
      <c r="F310" s="43">
        <f>F306+4*(F316-F306)/10</f>
        <v>0.37404600000000005</v>
      </c>
      <c r="G310" s="100">
        <f>G306+4*(G316-G306)/10</f>
        <v>640.78</v>
      </c>
      <c r="H310" s="98">
        <f t="shared" si="17"/>
        <v>2106.9399999999996</v>
      </c>
      <c r="I310" s="100">
        <f>I306+4*(I316-I306)/10</f>
        <v>2747.72</v>
      </c>
      <c r="J310" s="225">
        <f t="shared" si="19"/>
        <v>152</v>
      </c>
      <c r="K310" s="19"/>
    </row>
    <row r="311" spans="2:11" ht="12.75">
      <c r="B311" s="111">
        <f t="shared" si="18"/>
        <v>152.5</v>
      </c>
      <c r="C311" s="43">
        <f>C306+5*(C316-C306)/10</f>
        <v>5.096665</v>
      </c>
      <c r="D311" s="94">
        <f>D306+5*(D316-D306)/10</f>
        <v>0.0010936000000000001</v>
      </c>
      <c r="E311" s="96">
        <f t="shared" si="16"/>
        <v>0.3683514</v>
      </c>
      <c r="F311" s="43">
        <f>F306+5*(F316-F306)/10</f>
        <v>0.369445</v>
      </c>
      <c r="G311" s="100">
        <f>G306+5*(G316-G306)/10</f>
        <v>642.95</v>
      </c>
      <c r="H311" s="98">
        <f t="shared" si="17"/>
        <v>2105.3500000000004</v>
      </c>
      <c r="I311" s="100">
        <f>I306+5*(I316-I306)/10</f>
        <v>2748.3</v>
      </c>
      <c r="J311" s="225">
        <f t="shared" si="19"/>
        <v>152.5</v>
      </c>
      <c r="K311" s="19"/>
    </row>
    <row r="312" spans="2:11" ht="12.75">
      <c r="B312" s="111">
        <f t="shared" si="18"/>
        <v>153</v>
      </c>
      <c r="C312" s="43">
        <f>C306+6*(C316-C306)/10</f>
        <v>5.163997999999999</v>
      </c>
      <c r="D312" s="94">
        <f>D306+6*(D316-D306)/10</f>
        <v>0.00109416</v>
      </c>
      <c r="E312" s="96">
        <f t="shared" si="16"/>
        <v>0.36374984</v>
      </c>
      <c r="F312" s="43">
        <f>F306+6*(F316-F306)/10</f>
        <v>0.364844</v>
      </c>
      <c r="G312" s="100">
        <f>G306+6*(G316-G306)/10</f>
        <v>645.12</v>
      </c>
      <c r="H312" s="98">
        <f t="shared" si="17"/>
        <v>2103.76</v>
      </c>
      <c r="I312" s="100">
        <f>I306+6*(I316-I306)/10</f>
        <v>2748.88</v>
      </c>
      <c r="J312" s="225">
        <f t="shared" si="19"/>
        <v>153</v>
      </c>
      <c r="K312" s="19"/>
    </row>
    <row r="313" spans="2:11" ht="12.75">
      <c r="B313" s="111">
        <f t="shared" si="18"/>
        <v>153.5</v>
      </c>
      <c r="C313" s="43">
        <f>C306+7*(C316-C306)/10</f>
        <v>5.231331</v>
      </c>
      <c r="D313" s="94">
        <f>D306+7*(D316-D306)/10</f>
        <v>0.00109472</v>
      </c>
      <c r="E313" s="96">
        <f t="shared" si="16"/>
        <v>0.35914828000000004</v>
      </c>
      <c r="F313" s="43">
        <f>F306+7*(F316-F306)/10</f>
        <v>0.36024300000000004</v>
      </c>
      <c r="G313" s="100">
        <f>G306+7*(G316-G306)/10</f>
        <v>647.29</v>
      </c>
      <c r="H313" s="98">
        <f t="shared" si="17"/>
        <v>2102.17</v>
      </c>
      <c r="I313" s="100">
        <f>I306+7*(I316-I306)/10</f>
        <v>2749.46</v>
      </c>
      <c r="J313" s="225">
        <f t="shared" si="19"/>
        <v>153.5</v>
      </c>
      <c r="K313" s="19"/>
    </row>
    <row r="314" spans="2:11" ht="12.75">
      <c r="B314" s="111">
        <f t="shared" si="18"/>
        <v>154</v>
      </c>
      <c r="C314" s="43">
        <f>C306+8*(C316-C306)/10</f>
        <v>5.298664</v>
      </c>
      <c r="D314" s="94">
        <f>D306+8*(D316-D306)/10</f>
        <v>0.00109528</v>
      </c>
      <c r="E314" s="96">
        <f t="shared" si="16"/>
        <v>0.35454672000000004</v>
      </c>
      <c r="F314" s="43">
        <f>F306+8*(F316-F306)/10</f>
        <v>0.355642</v>
      </c>
      <c r="G314" s="100">
        <f>G306+8*(G316-G306)/10</f>
        <v>649.4599999999999</v>
      </c>
      <c r="H314" s="98">
        <f t="shared" si="17"/>
        <v>2100.58</v>
      </c>
      <c r="I314" s="100">
        <f>I306+8*(I316-I306)/10</f>
        <v>2750.04</v>
      </c>
      <c r="J314" s="225">
        <f t="shared" si="19"/>
        <v>154</v>
      </c>
      <c r="K314" s="19"/>
    </row>
    <row r="315" spans="2:11" ht="12.75">
      <c r="B315" s="111">
        <f t="shared" si="18"/>
        <v>154.5</v>
      </c>
      <c r="C315" s="43">
        <f>C306+9*(C316-C306)/10</f>
        <v>5.365997</v>
      </c>
      <c r="D315" s="94">
        <f>D306+9*(D316-D306)/10</f>
        <v>0.00109584</v>
      </c>
      <c r="E315" s="96">
        <f t="shared" si="16"/>
        <v>0.34994516000000003</v>
      </c>
      <c r="F315" s="43">
        <f>F306+9*(F316-F306)/10</f>
        <v>0.35104100000000005</v>
      </c>
      <c r="G315" s="100">
        <f>G306+9*(G316-G306)/10</f>
        <v>651.63</v>
      </c>
      <c r="H315" s="98">
        <f t="shared" si="17"/>
        <v>2098.99</v>
      </c>
      <c r="I315" s="100">
        <f>I306+9*(I316-I306)/10</f>
        <v>2750.62</v>
      </c>
      <c r="J315" s="225">
        <f t="shared" si="19"/>
        <v>154.5</v>
      </c>
      <c r="K315" s="19"/>
    </row>
    <row r="316" spans="2:11" ht="12.75">
      <c r="B316" s="111">
        <f t="shared" si="18"/>
        <v>155</v>
      </c>
      <c r="C316" s="43">
        <v>5.43333</v>
      </c>
      <c r="D316" s="94">
        <v>0.0010964</v>
      </c>
      <c r="E316" s="96">
        <f t="shared" si="16"/>
        <v>0.34534360000000003</v>
      </c>
      <c r="F316" s="43">
        <v>0.34644</v>
      </c>
      <c r="G316" s="100">
        <v>653.8</v>
      </c>
      <c r="H316" s="98">
        <f t="shared" si="17"/>
        <v>2097.3999999999996</v>
      </c>
      <c r="I316" s="100">
        <v>2751.2</v>
      </c>
      <c r="J316" s="225">
        <f t="shared" si="19"/>
        <v>155</v>
      </c>
      <c r="K316" s="19"/>
    </row>
    <row r="317" spans="2:11" ht="12.75">
      <c r="B317" s="111">
        <f t="shared" si="18"/>
        <v>155.5</v>
      </c>
      <c r="C317" s="43">
        <f>C316+1*(C326-C316)/10</f>
        <v>5.508057</v>
      </c>
      <c r="D317" s="94">
        <f>D316+1*(D326-D316)/10</f>
        <v>0.00109698</v>
      </c>
      <c r="E317" s="96">
        <f t="shared" si="16"/>
        <v>0.34137502</v>
      </c>
      <c r="F317" s="43">
        <f>F316+1*(F326-F316)/10</f>
        <v>0.342472</v>
      </c>
      <c r="G317" s="100">
        <f>G316+1*(G326-G316)/10</f>
        <v>655.9699999999999</v>
      </c>
      <c r="H317" s="98">
        <f t="shared" si="17"/>
        <v>2095.78</v>
      </c>
      <c r="I317" s="100">
        <f>I316+1*(I326-I316)/10</f>
        <v>2751.75</v>
      </c>
      <c r="J317" s="225">
        <f t="shared" si="19"/>
        <v>155.5</v>
      </c>
      <c r="K317" s="19"/>
    </row>
    <row r="318" spans="2:11" ht="12.75">
      <c r="B318" s="111">
        <f t="shared" si="18"/>
        <v>156</v>
      </c>
      <c r="C318" s="43">
        <f>C316+2*(C326-C316)/10</f>
        <v>5.582784</v>
      </c>
      <c r="D318" s="94">
        <f>D316+2*(D326-D316)/10</f>
        <v>0.00109756</v>
      </c>
      <c r="E318" s="96">
        <f t="shared" si="16"/>
        <v>0.33740644000000003</v>
      </c>
      <c r="F318" s="43">
        <f>F316+2*(F326-F316)/10</f>
        <v>0.338504</v>
      </c>
      <c r="G318" s="100">
        <f>G316+2*(G326-G316)/10</f>
        <v>658.14</v>
      </c>
      <c r="H318" s="98">
        <f t="shared" si="17"/>
        <v>2094.16</v>
      </c>
      <c r="I318" s="100">
        <f>I316+2*(I326-I316)/10</f>
        <v>2752.2999999999997</v>
      </c>
      <c r="J318" s="225">
        <f t="shared" si="19"/>
        <v>156</v>
      </c>
      <c r="K318" s="19"/>
    </row>
    <row r="319" spans="2:11" ht="12.75">
      <c r="B319" s="111">
        <f t="shared" si="18"/>
        <v>156.5</v>
      </c>
      <c r="C319" s="43">
        <f>C316+3*(C326-C316)/10</f>
        <v>5.6575109999999995</v>
      </c>
      <c r="D319" s="94">
        <f>D316+3*(D326-D316)/10</f>
        <v>0.00109814</v>
      </c>
      <c r="E319" s="96">
        <f t="shared" si="16"/>
        <v>0.33343786</v>
      </c>
      <c r="F319" s="43">
        <f>F316+3*(F326-F316)/10</f>
        <v>0.334536</v>
      </c>
      <c r="G319" s="100">
        <f>G316+3*(G326-G316)/10</f>
        <v>660.31</v>
      </c>
      <c r="H319" s="98">
        <f t="shared" si="17"/>
        <v>2092.54</v>
      </c>
      <c r="I319" s="100">
        <f>I316+3*(I326-I316)/10</f>
        <v>2752.85</v>
      </c>
      <c r="J319" s="225">
        <f t="shared" si="19"/>
        <v>156.5</v>
      </c>
      <c r="K319" s="19"/>
    </row>
    <row r="320" spans="2:11" ht="12.75">
      <c r="B320" s="111">
        <f t="shared" si="18"/>
        <v>157</v>
      </c>
      <c r="C320" s="43">
        <f>C316+4*(C326-C316)/10</f>
        <v>5.732238</v>
      </c>
      <c r="D320" s="94">
        <f>D316+4*(D326-D316)/10</f>
        <v>0.00109872</v>
      </c>
      <c r="E320" s="96">
        <f t="shared" si="16"/>
        <v>0.32946928000000003</v>
      </c>
      <c r="F320" s="43">
        <f>F316+4*(F326-F316)/10</f>
        <v>0.33056800000000003</v>
      </c>
      <c r="G320" s="100">
        <f>G316+4*(G326-G316)/10</f>
        <v>662.48</v>
      </c>
      <c r="H320" s="98">
        <f t="shared" si="17"/>
        <v>2090.9199999999996</v>
      </c>
      <c r="I320" s="100">
        <f>I316+4*(I326-I316)/10</f>
        <v>2753.3999999999996</v>
      </c>
      <c r="J320" s="225">
        <f t="shared" si="19"/>
        <v>157</v>
      </c>
      <c r="K320" s="19"/>
    </row>
    <row r="321" spans="2:11" ht="12.75">
      <c r="B321" s="111">
        <f t="shared" si="18"/>
        <v>157.5</v>
      </c>
      <c r="C321" s="43">
        <f>C316+5*(C326-C316)/10</f>
        <v>5.806965</v>
      </c>
      <c r="D321" s="94">
        <f>D316+5*(D326-D316)/10</f>
        <v>0.0010993</v>
      </c>
      <c r="E321" s="96">
        <f t="shared" si="16"/>
        <v>0.3255007</v>
      </c>
      <c r="F321" s="43">
        <f>F316+5*(F326-F316)/10</f>
        <v>0.3266</v>
      </c>
      <c r="G321" s="100">
        <f>G316+5*(G326-G316)/10</f>
        <v>664.65</v>
      </c>
      <c r="H321" s="98">
        <f t="shared" si="17"/>
        <v>2089.2999999999997</v>
      </c>
      <c r="I321" s="100">
        <f>I316+5*(I326-I316)/10</f>
        <v>2753.95</v>
      </c>
      <c r="J321" s="225">
        <f t="shared" si="19"/>
        <v>157.5</v>
      </c>
      <c r="K321" s="19"/>
    </row>
    <row r="322" spans="2:11" ht="12.75">
      <c r="B322" s="111">
        <f t="shared" si="18"/>
        <v>158</v>
      </c>
      <c r="C322" s="43">
        <f>C316+6*(C326-C316)/10</f>
        <v>5.881692</v>
      </c>
      <c r="D322" s="94">
        <f>D316+6*(D326-D316)/10</f>
        <v>0.00109988</v>
      </c>
      <c r="E322" s="96">
        <f t="shared" si="16"/>
        <v>0.32153212</v>
      </c>
      <c r="F322" s="43">
        <f>F316+6*(F326-F316)/10</f>
        <v>0.322632</v>
      </c>
      <c r="G322" s="100">
        <f>G316+6*(G326-G316)/10</f>
        <v>666.8199999999999</v>
      </c>
      <c r="H322" s="98">
        <f t="shared" si="17"/>
        <v>2087.6800000000003</v>
      </c>
      <c r="I322" s="100">
        <f>I316+6*(I326-I316)/10</f>
        <v>2754.5</v>
      </c>
      <c r="J322" s="225">
        <f t="shared" si="19"/>
        <v>158</v>
      </c>
      <c r="K322" s="19"/>
    </row>
    <row r="323" spans="2:11" ht="12.75">
      <c r="B323" s="111">
        <f t="shared" si="18"/>
        <v>158.5</v>
      </c>
      <c r="C323" s="43">
        <f>C316+7*(C326-C316)/10</f>
        <v>5.956419</v>
      </c>
      <c r="D323" s="94">
        <f>D316+7*(D326-D316)/10</f>
        <v>0.00110046</v>
      </c>
      <c r="E323" s="96">
        <f t="shared" si="16"/>
        <v>0.31756354</v>
      </c>
      <c r="F323" s="43">
        <f>F316+7*(F326-F316)/10</f>
        <v>0.318664</v>
      </c>
      <c r="G323" s="100">
        <f>G316+7*(G326-G316)/10</f>
        <v>668.99</v>
      </c>
      <c r="H323" s="98">
        <f t="shared" si="17"/>
        <v>2086.0599999999995</v>
      </c>
      <c r="I323" s="100">
        <f>I316+7*(I326-I316)/10</f>
        <v>2755.0499999999997</v>
      </c>
      <c r="J323" s="225">
        <f t="shared" si="19"/>
        <v>158.5</v>
      </c>
      <c r="K323" s="19"/>
    </row>
    <row r="324" spans="2:11" ht="12.75">
      <c r="B324" s="111">
        <f t="shared" si="18"/>
        <v>159</v>
      </c>
      <c r="C324" s="43">
        <f>C316+8*(C326-C316)/10</f>
        <v>6.031146</v>
      </c>
      <c r="D324" s="94">
        <f>D316+8*(D326-D316)/10</f>
        <v>0.00110104</v>
      </c>
      <c r="E324" s="96">
        <f t="shared" si="16"/>
        <v>0.31359496</v>
      </c>
      <c r="F324" s="43">
        <f>F316+8*(F326-F316)/10</f>
        <v>0.314696</v>
      </c>
      <c r="G324" s="100">
        <f>G316+8*(G326-G316)/10</f>
        <v>671.16</v>
      </c>
      <c r="H324" s="98">
        <f t="shared" si="17"/>
        <v>2084.44</v>
      </c>
      <c r="I324" s="100">
        <f>I316+8*(I326-I316)/10</f>
        <v>2755.6</v>
      </c>
      <c r="J324" s="225">
        <f t="shared" si="19"/>
        <v>159</v>
      </c>
      <c r="K324" s="19"/>
    </row>
    <row r="325" spans="2:11" ht="12.75">
      <c r="B325" s="111">
        <f t="shared" si="18"/>
        <v>159.5</v>
      </c>
      <c r="C325" s="43">
        <f>C316+9*(C326-C316)/10</f>
        <v>6.105873</v>
      </c>
      <c r="D325" s="94">
        <f>D316+9*(D326-D316)/10</f>
        <v>0.00110162</v>
      </c>
      <c r="E325" s="96">
        <f t="shared" si="16"/>
        <v>0.30962638</v>
      </c>
      <c r="F325" s="43">
        <f>F316+9*(F326-F316)/10</f>
        <v>0.310728</v>
      </c>
      <c r="G325" s="100">
        <f>G316+9*(G326-G316)/10</f>
        <v>673.33</v>
      </c>
      <c r="H325" s="98">
        <f t="shared" si="17"/>
        <v>2082.8199999999997</v>
      </c>
      <c r="I325" s="100">
        <f>I316+9*(I326-I316)/10</f>
        <v>2756.1499999999996</v>
      </c>
      <c r="J325" s="225">
        <f t="shared" si="19"/>
        <v>159.5</v>
      </c>
      <c r="K325" s="19"/>
    </row>
    <row r="326" spans="2:11" ht="12.75">
      <c r="B326" s="111">
        <f t="shared" si="18"/>
        <v>160</v>
      </c>
      <c r="C326" s="43">
        <v>6.1806</v>
      </c>
      <c r="D326" s="94">
        <v>0.0011022</v>
      </c>
      <c r="E326" s="96">
        <f t="shared" si="16"/>
        <v>0.3056578</v>
      </c>
      <c r="F326" s="43">
        <v>0.30676</v>
      </c>
      <c r="G326" s="100">
        <v>675.5</v>
      </c>
      <c r="H326" s="98">
        <f t="shared" si="17"/>
        <v>2081.2</v>
      </c>
      <c r="I326" s="100">
        <v>2756.7</v>
      </c>
      <c r="J326" s="225">
        <f t="shared" si="19"/>
        <v>160</v>
      </c>
      <c r="K326" s="19"/>
    </row>
    <row r="327" spans="2:11" ht="12.75">
      <c r="B327" s="111">
        <f t="shared" si="18"/>
        <v>160.5</v>
      </c>
      <c r="C327" s="43">
        <f>C326+1*(C336-C326)/10</f>
        <v>6.26331</v>
      </c>
      <c r="D327" s="94">
        <f>D326+1*(D336-D326)/10</f>
        <v>0.0011028</v>
      </c>
      <c r="E327" s="96">
        <f aca="true" t="shared" si="20" ref="E327:E375">F327-D327</f>
        <v>0.30222119999999997</v>
      </c>
      <c r="F327" s="43">
        <f>F326+1*(F336-F326)/10</f>
        <v>0.303324</v>
      </c>
      <c r="G327" s="100">
        <f>G326+1*(G336-G326)/10</f>
        <v>677.68</v>
      </c>
      <c r="H327" s="98">
        <f aca="true" t="shared" si="21" ref="H327:H375">I327-G327</f>
        <v>2079.55</v>
      </c>
      <c r="I327" s="100">
        <f>I326+1*(I336-I326)/10</f>
        <v>2757.23</v>
      </c>
      <c r="J327" s="225">
        <f t="shared" si="19"/>
        <v>160.5</v>
      </c>
      <c r="K327" s="19"/>
    </row>
    <row r="328" spans="2:11" ht="12.75">
      <c r="B328" s="111">
        <f aca="true" t="shared" si="22" ref="B328:B391">B327+0.5</f>
        <v>161</v>
      </c>
      <c r="C328" s="43">
        <f>C326+2*(C336-C326)/10</f>
        <v>6.34602</v>
      </c>
      <c r="D328" s="94">
        <f>D326+2*(D336-D326)/10</f>
        <v>0.0011034</v>
      </c>
      <c r="E328" s="96">
        <f t="shared" si="20"/>
        <v>0.2987846</v>
      </c>
      <c r="F328" s="43">
        <f>F326+2*(F336-F326)/10</f>
        <v>0.299888</v>
      </c>
      <c r="G328" s="100">
        <f>G326+2*(G336-G326)/10</f>
        <v>679.86</v>
      </c>
      <c r="H328" s="98">
        <f t="shared" si="21"/>
        <v>2077.8999999999996</v>
      </c>
      <c r="I328" s="100">
        <f>I326+2*(I336-I326)/10</f>
        <v>2757.7599999999998</v>
      </c>
      <c r="J328" s="225">
        <f aca="true" t="shared" si="23" ref="J328:J391">J327+0.5</f>
        <v>161</v>
      </c>
      <c r="K328" s="19"/>
    </row>
    <row r="329" spans="2:11" ht="12.75">
      <c r="B329" s="111">
        <f t="shared" si="22"/>
        <v>161.5</v>
      </c>
      <c r="C329" s="43">
        <f>C326+3*(C336-C326)/10</f>
        <v>6.42873</v>
      </c>
      <c r="D329" s="94">
        <f>D326+3*(D336-D326)/10</f>
        <v>0.001104</v>
      </c>
      <c r="E329" s="96">
        <f t="shared" si="20"/>
        <v>0.295348</v>
      </c>
      <c r="F329" s="43">
        <f>F326+3*(F336-F326)/10</f>
        <v>0.296452</v>
      </c>
      <c r="G329" s="100">
        <f>G326+3*(G336-G326)/10</f>
        <v>682.04</v>
      </c>
      <c r="H329" s="98">
        <f t="shared" si="21"/>
        <v>2076.25</v>
      </c>
      <c r="I329" s="100">
        <f>I326+3*(I336-I326)/10</f>
        <v>2758.29</v>
      </c>
      <c r="J329" s="225">
        <f t="shared" si="23"/>
        <v>161.5</v>
      </c>
      <c r="K329" s="19"/>
    </row>
    <row r="330" spans="2:11" ht="12.75">
      <c r="B330" s="111">
        <f t="shared" si="22"/>
        <v>162</v>
      </c>
      <c r="C330" s="43">
        <f>C326+4*(C336-C326)/10</f>
        <v>6.51144</v>
      </c>
      <c r="D330" s="94">
        <f>D326+4*(D336-D326)/10</f>
        <v>0.0011046</v>
      </c>
      <c r="E330" s="96">
        <f t="shared" si="20"/>
        <v>0.2919114</v>
      </c>
      <c r="F330" s="43">
        <f>F326+4*(F336-F326)/10</f>
        <v>0.293016</v>
      </c>
      <c r="G330" s="100">
        <f>G326+4*(G336-G326)/10</f>
        <v>684.22</v>
      </c>
      <c r="H330" s="98">
        <f t="shared" si="21"/>
        <v>2074.5999999999995</v>
      </c>
      <c r="I330" s="100">
        <f>I326+4*(I336-I326)/10</f>
        <v>2758.8199999999997</v>
      </c>
      <c r="J330" s="225">
        <f t="shared" si="23"/>
        <v>162</v>
      </c>
      <c r="K330" s="19"/>
    </row>
    <row r="331" spans="2:11" ht="12.75">
      <c r="B331" s="111">
        <f t="shared" si="22"/>
        <v>162.5</v>
      </c>
      <c r="C331" s="43">
        <f>C326+5*(C336-C326)/10</f>
        <v>6.59415</v>
      </c>
      <c r="D331" s="94">
        <f>D326+5*(D336-D326)/10</f>
        <v>0.0011052</v>
      </c>
      <c r="E331" s="96">
        <f t="shared" si="20"/>
        <v>0.2884748</v>
      </c>
      <c r="F331" s="43">
        <f>F326+5*(F336-F326)/10</f>
        <v>0.28957999999999995</v>
      </c>
      <c r="G331" s="100">
        <f>G326+5*(G336-G326)/10</f>
        <v>686.4</v>
      </c>
      <c r="H331" s="98">
        <f t="shared" si="21"/>
        <v>2072.95</v>
      </c>
      <c r="I331" s="100">
        <f>I326+5*(I336-I326)/10</f>
        <v>2759.35</v>
      </c>
      <c r="J331" s="225">
        <f t="shared" si="23"/>
        <v>162.5</v>
      </c>
      <c r="K331" s="19"/>
    </row>
    <row r="332" spans="2:11" ht="12.75">
      <c r="B332" s="111">
        <f t="shared" si="22"/>
        <v>163</v>
      </c>
      <c r="C332" s="43">
        <f>C326+6*(C336-C326)/10</f>
        <v>6.67686</v>
      </c>
      <c r="D332" s="94">
        <f>D326+6*(D336-D326)/10</f>
        <v>0.0011057999999999999</v>
      </c>
      <c r="E332" s="96">
        <f t="shared" si="20"/>
        <v>0.28503819999999996</v>
      </c>
      <c r="F332" s="43">
        <f>F326+6*(F336-F326)/10</f>
        <v>0.28614399999999995</v>
      </c>
      <c r="G332" s="100">
        <f>G326+6*(G336-G326)/10</f>
        <v>688.5799999999999</v>
      </c>
      <c r="H332" s="98">
        <f t="shared" si="21"/>
        <v>2071.3</v>
      </c>
      <c r="I332" s="100">
        <f>I326+6*(I336-I326)/10</f>
        <v>2759.88</v>
      </c>
      <c r="J332" s="225">
        <f t="shared" si="23"/>
        <v>163</v>
      </c>
      <c r="K332" s="19"/>
    </row>
    <row r="333" spans="2:11" ht="12.75">
      <c r="B333" s="111">
        <f t="shared" si="22"/>
        <v>163.5</v>
      </c>
      <c r="C333" s="43">
        <f>C326+7*(C336-C326)/10</f>
        <v>6.75957</v>
      </c>
      <c r="D333" s="94">
        <f>D326+7*(D336-D326)/10</f>
        <v>0.0011064</v>
      </c>
      <c r="E333" s="96">
        <f t="shared" si="20"/>
        <v>0.28160159999999995</v>
      </c>
      <c r="F333" s="43">
        <f>F326+7*(F336-F326)/10</f>
        <v>0.28270799999999996</v>
      </c>
      <c r="G333" s="100">
        <f>G326+7*(G336-G326)/10</f>
        <v>690.76</v>
      </c>
      <c r="H333" s="98">
        <f t="shared" si="21"/>
        <v>2069.6499999999996</v>
      </c>
      <c r="I333" s="100">
        <f>I326+7*(I336-I326)/10</f>
        <v>2760.41</v>
      </c>
      <c r="J333" s="225">
        <f t="shared" si="23"/>
        <v>163.5</v>
      </c>
      <c r="K333" s="19"/>
    </row>
    <row r="334" spans="2:11" ht="12.75">
      <c r="B334" s="111">
        <f t="shared" si="22"/>
        <v>164</v>
      </c>
      <c r="C334" s="43">
        <f>C326+8*(C336-C326)/10</f>
        <v>6.84228</v>
      </c>
      <c r="D334" s="94">
        <f>D326+8*(D336-D326)/10</f>
        <v>0.001107</v>
      </c>
      <c r="E334" s="96">
        <f t="shared" si="20"/>
        <v>0.27816499999999994</v>
      </c>
      <c r="F334" s="43">
        <f>F326+8*(F336-F326)/10</f>
        <v>0.27927199999999996</v>
      </c>
      <c r="G334" s="100">
        <f>G326+8*(G336-G326)/10</f>
        <v>692.9399999999999</v>
      </c>
      <c r="H334" s="98">
        <f t="shared" si="21"/>
        <v>2068</v>
      </c>
      <c r="I334" s="100">
        <f>I326+8*(I336-I326)/10</f>
        <v>2760.94</v>
      </c>
      <c r="J334" s="225">
        <f t="shared" si="23"/>
        <v>164</v>
      </c>
      <c r="K334" s="19"/>
    </row>
    <row r="335" spans="2:11" ht="12.75">
      <c r="B335" s="111">
        <f t="shared" si="22"/>
        <v>164.5</v>
      </c>
      <c r="C335" s="43">
        <f>C326+9*(C336-C326)/10</f>
        <v>6.92499</v>
      </c>
      <c r="D335" s="94">
        <f>D326+9*(D336-D326)/10</f>
        <v>0.0011076</v>
      </c>
      <c r="E335" s="96">
        <f t="shared" si="20"/>
        <v>0.2747284</v>
      </c>
      <c r="F335" s="43">
        <f>F326+9*(F336-F326)/10</f>
        <v>0.27583599999999997</v>
      </c>
      <c r="G335" s="100">
        <f>G326+9*(G336-G326)/10</f>
        <v>695.12</v>
      </c>
      <c r="H335" s="98">
        <f t="shared" si="21"/>
        <v>2066.35</v>
      </c>
      <c r="I335" s="100">
        <f>I326+9*(I336-I326)/10</f>
        <v>2761.47</v>
      </c>
      <c r="J335" s="225">
        <f t="shared" si="23"/>
        <v>164.5</v>
      </c>
      <c r="K335" s="19"/>
    </row>
    <row r="336" spans="2:11" ht="12.75">
      <c r="B336" s="111">
        <f t="shared" si="22"/>
        <v>165</v>
      </c>
      <c r="C336" s="43">
        <v>7.0077</v>
      </c>
      <c r="D336" s="94">
        <v>0.0011082</v>
      </c>
      <c r="E336" s="96">
        <f t="shared" si="20"/>
        <v>0.27129179999999997</v>
      </c>
      <c r="F336" s="43">
        <v>0.2724</v>
      </c>
      <c r="G336" s="100">
        <v>697.3</v>
      </c>
      <c r="H336" s="98">
        <f t="shared" si="21"/>
        <v>2064.7</v>
      </c>
      <c r="I336" s="100">
        <v>2762</v>
      </c>
      <c r="J336" s="225">
        <f t="shared" si="23"/>
        <v>165</v>
      </c>
      <c r="K336" s="19"/>
    </row>
    <row r="337" spans="2:11" ht="12.75">
      <c r="B337" s="111">
        <f t="shared" si="22"/>
        <v>165.5</v>
      </c>
      <c r="C337" s="43">
        <f>C336+1*(C346-C336)/10</f>
        <v>7.09895</v>
      </c>
      <c r="D337" s="94">
        <f>D336+1*(D346-D336)/10</f>
        <v>0.0011088299999999999</v>
      </c>
      <c r="E337" s="96">
        <f t="shared" si="20"/>
        <v>0.26830616999999995</v>
      </c>
      <c r="F337" s="43">
        <f>F336+1*(F346-F336)/10</f>
        <v>0.26941499999999996</v>
      </c>
      <c r="G337" s="100">
        <f>G336+1*(G346-G336)/10</f>
        <v>699.48</v>
      </c>
      <c r="H337" s="98">
        <f t="shared" si="21"/>
        <v>2063.03</v>
      </c>
      <c r="I337" s="100">
        <f>I336+1*(I346-I336)/10</f>
        <v>2762.51</v>
      </c>
      <c r="J337" s="225">
        <f t="shared" si="23"/>
        <v>165.5</v>
      </c>
      <c r="K337" s="19"/>
    </row>
    <row r="338" spans="2:11" ht="12.75">
      <c r="B338" s="111">
        <f t="shared" si="22"/>
        <v>166</v>
      </c>
      <c r="C338" s="43">
        <f>C336+2*(C346-C336)/10</f>
        <v>7.1902</v>
      </c>
      <c r="D338" s="94">
        <f>D336+2*(D346-D336)/10</f>
        <v>0.00110946</v>
      </c>
      <c r="E338" s="96">
        <f t="shared" si="20"/>
        <v>0.26532054</v>
      </c>
      <c r="F338" s="43">
        <f>F336+2*(F346-F336)/10</f>
        <v>0.26643</v>
      </c>
      <c r="G338" s="100">
        <f>G336+2*(G346-G336)/10</f>
        <v>701.66</v>
      </c>
      <c r="H338" s="98">
        <f t="shared" si="21"/>
        <v>2061.36</v>
      </c>
      <c r="I338" s="100">
        <f>I336+2*(I346-I336)/10</f>
        <v>2763.02</v>
      </c>
      <c r="J338" s="225">
        <f t="shared" si="23"/>
        <v>166</v>
      </c>
      <c r="K338" s="19"/>
    </row>
    <row r="339" spans="2:11" ht="12.75">
      <c r="B339" s="111">
        <f t="shared" si="22"/>
        <v>166.5</v>
      </c>
      <c r="C339" s="43">
        <f>C336+3*(C346-C336)/10</f>
        <v>7.2814499999999995</v>
      </c>
      <c r="D339" s="94">
        <f>D336+3*(D346-D336)/10</f>
        <v>0.00111009</v>
      </c>
      <c r="E339" s="96">
        <f t="shared" si="20"/>
        <v>0.26233491</v>
      </c>
      <c r="F339" s="43">
        <f>F336+3*(F346-F336)/10</f>
        <v>0.263445</v>
      </c>
      <c r="G339" s="100">
        <f>G336+3*(G346-G336)/10</f>
        <v>703.8399999999999</v>
      </c>
      <c r="H339" s="98">
        <f t="shared" si="21"/>
        <v>2059.6899999999996</v>
      </c>
      <c r="I339" s="100">
        <f>I336+3*(I346-I336)/10</f>
        <v>2763.5299999999997</v>
      </c>
      <c r="J339" s="225">
        <f t="shared" si="23"/>
        <v>166.5</v>
      </c>
      <c r="K339" s="19"/>
    </row>
    <row r="340" spans="2:11" ht="12.75">
      <c r="B340" s="111">
        <f t="shared" si="22"/>
        <v>167</v>
      </c>
      <c r="C340" s="43">
        <f>C336+4*(C346-C336)/10</f>
        <v>7.3727</v>
      </c>
      <c r="D340" s="94">
        <f>D336+4*(D346-D336)/10</f>
        <v>0.00111072</v>
      </c>
      <c r="E340" s="96">
        <f t="shared" si="20"/>
        <v>0.25934927999999996</v>
      </c>
      <c r="F340" s="43">
        <f>F336+4*(F346-F336)/10</f>
        <v>0.26045999999999997</v>
      </c>
      <c r="G340" s="100">
        <f>G336+4*(G346-G336)/10</f>
        <v>706.02</v>
      </c>
      <c r="H340" s="98">
        <f t="shared" si="21"/>
        <v>2058.02</v>
      </c>
      <c r="I340" s="100">
        <f>I336+4*(I346-I336)/10</f>
        <v>2764.04</v>
      </c>
      <c r="J340" s="225">
        <f t="shared" si="23"/>
        <v>167</v>
      </c>
      <c r="K340" s="19"/>
    </row>
    <row r="341" spans="2:11" ht="12.75">
      <c r="B341" s="111">
        <f t="shared" si="22"/>
        <v>167.5</v>
      </c>
      <c r="C341" s="43">
        <f>C336+5*(C346-C336)/10</f>
        <v>7.4639500000000005</v>
      </c>
      <c r="D341" s="94">
        <f>D336+5*(D346-D336)/10</f>
        <v>0.00111135</v>
      </c>
      <c r="E341" s="96">
        <f t="shared" si="20"/>
        <v>0.25636365</v>
      </c>
      <c r="F341" s="43">
        <f>F336+5*(F346-F336)/10</f>
        <v>0.257475</v>
      </c>
      <c r="G341" s="100">
        <f>G336+5*(G346-G336)/10</f>
        <v>708.2</v>
      </c>
      <c r="H341" s="98">
        <f t="shared" si="21"/>
        <v>2056.3500000000004</v>
      </c>
      <c r="I341" s="100">
        <f>I336+5*(I346-I336)/10</f>
        <v>2764.55</v>
      </c>
      <c r="J341" s="225">
        <f t="shared" si="23"/>
        <v>167.5</v>
      </c>
      <c r="K341" s="19"/>
    </row>
    <row r="342" spans="2:11" ht="12.75">
      <c r="B342" s="111">
        <f t="shared" si="22"/>
        <v>168</v>
      </c>
      <c r="C342" s="43">
        <f>C336+6*(C346-C336)/10</f>
        <v>7.5552</v>
      </c>
      <c r="D342" s="94">
        <f>D336+6*(D346-D336)/10</f>
        <v>0.00111198</v>
      </c>
      <c r="E342" s="96">
        <f t="shared" si="20"/>
        <v>0.25337802</v>
      </c>
      <c r="F342" s="43">
        <f>F336+6*(F346-F336)/10</f>
        <v>0.25449</v>
      </c>
      <c r="G342" s="100">
        <f>G336+6*(G346-G336)/10</f>
        <v>710.38</v>
      </c>
      <c r="H342" s="98">
        <f t="shared" si="21"/>
        <v>2054.68</v>
      </c>
      <c r="I342" s="100">
        <f>I336+6*(I346-I336)/10</f>
        <v>2765.06</v>
      </c>
      <c r="J342" s="225">
        <f t="shared" si="23"/>
        <v>168</v>
      </c>
      <c r="K342" s="19"/>
    </row>
    <row r="343" spans="2:11" ht="12.75">
      <c r="B343" s="111">
        <f t="shared" si="22"/>
        <v>168.5</v>
      </c>
      <c r="C343" s="43">
        <f>C336+7*(C346-C336)/10</f>
        <v>7.64645</v>
      </c>
      <c r="D343" s="94">
        <f>D336+7*(D346-D336)/10</f>
        <v>0.00111261</v>
      </c>
      <c r="E343" s="96">
        <f t="shared" si="20"/>
        <v>0.25039238999999996</v>
      </c>
      <c r="F343" s="43">
        <f>F336+7*(F346-F336)/10</f>
        <v>0.251505</v>
      </c>
      <c r="G343" s="100">
        <f>G336+7*(G346-G336)/10</f>
        <v>712.56</v>
      </c>
      <c r="H343" s="98">
        <f t="shared" si="21"/>
        <v>2053.0099999999998</v>
      </c>
      <c r="I343" s="100">
        <f>I336+7*(I346-I336)/10</f>
        <v>2765.5699999999997</v>
      </c>
      <c r="J343" s="225">
        <f t="shared" si="23"/>
        <v>168.5</v>
      </c>
      <c r="K343" s="19"/>
    </row>
    <row r="344" spans="2:11" ht="12.75">
      <c r="B344" s="111">
        <f t="shared" si="22"/>
        <v>169</v>
      </c>
      <c r="C344" s="43">
        <f>C336+8*(C346-C336)/10</f>
        <v>7.7377</v>
      </c>
      <c r="D344" s="94">
        <f>D336+8*(D346-D336)/10</f>
        <v>0.00111324</v>
      </c>
      <c r="E344" s="96">
        <f t="shared" si="20"/>
        <v>0.24740676</v>
      </c>
      <c r="F344" s="43">
        <f>F336+8*(F346-F336)/10</f>
        <v>0.24852</v>
      </c>
      <c r="G344" s="100">
        <f>G336+8*(G346-G336)/10</f>
        <v>714.74</v>
      </c>
      <c r="H344" s="98">
        <f t="shared" si="21"/>
        <v>2051.34</v>
      </c>
      <c r="I344" s="100">
        <f>I336+8*(I346-I336)/10</f>
        <v>2766.08</v>
      </c>
      <c r="J344" s="225">
        <f t="shared" si="23"/>
        <v>169</v>
      </c>
      <c r="K344" s="19"/>
    </row>
    <row r="345" spans="2:11" ht="12.75">
      <c r="B345" s="111">
        <f t="shared" si="22"/>
        <v>169.5</v>
      </c>
      <c r="C345" s="43">
        <f>C336+9*(C346-C336)/10</f>
        <v>7.828950000000001</v>
      </c>
      <c r="D345" s="94">
        <f>D336+9*(D346-D336)/10</f>
        <v>0.00111387</v>
      </c>
      <c r="E345" s="96">
        <f t="shared" si="20"/>
        <v>0.24442113</v>
      </c>
      <c r="F345" s="43">
        <f>F336+9*(F346-F336)/10</f>
        <v>0.24553499999999998</v>
      </c>
      <c r="G345" s="100">
        <f>G336+9*(G346-G336)/10</f>
        <v>716.9200000000001</v>
      </c>
      <c r="H345" s="98">
        <f t="shared" si="21"/>
        <v>2049.67</v>
      </c>
      <c r="I345" s="100">
        <f>I336+9*(I346-I336)/10</f>
        <v>2766.59</v>
      </c>
      <c r="J345" s="225">
        <f t="shared" si="23"/>
        <v>169.5</v>
      </c>
      <c r="K345" s="19"/>
    </row>
    <row r="346" spans="2:11" ht="12.75">
      <c r="B346" s="111">
        <f t="shared" si="22"/>
        <v>170</v>
      </c>
      <c r="C346" s="43">
        <v>7.9202</v>
      </c>
      <c r="D346" s="94">
        <v>0.0011145</v>
      </c>
      <c r="E346" s="96">
        <f t="shared" si="20"/>
        <v>0.2414355</v>
      </c>
      <c r="F346" s="43">
        <v>0.24255</v>
      </c>
      <c r="G346" s="100">
        <v>719.1</v>
      </c>
      <c r="H346" s="98">
        <f t="shared" si="21"/>
        <v>2048</v>
      </c>
      <c r="I346" s="100">
        <v>2767.1</v>
      </c>
      <c r="J346" s="225">
        <f t="shared" si="23"/>
        <v>170</v>
      </c>
      <c r="K346" s="19"/>
    </row>
    <row r="347" spans="2:11" ht="12.75">
      <c r="B347" s="111">
        <f t="shared" si="22"/>
        <v>170.5</v>
      </c>
      <c r="C347" s="43">
        <f>C346+1*(C356-C346)/10</f>
        <v>8.020620000000001</v>
      </c>
      <c r="D347" s="94">
        <f>D346+1*(D356-D346)/10</f>
        <v>0.0011151400000000001</v>
      </c>
      <c r="E347" s="96">
        <f t="shared" si="20"/>
        <v>0.23883386</v>
      </c>
      <c r="F347" s="43">
        <f>F346+1*(F356-F346)/10</f>
        <v>0.239949</v>
      </c>
      <c r="G347" s="100">
        <f>G346+1*(G356-G346)/10</f>
        <v>721.3000000000001</v>
      </c>
      <c r="H347" s="98">
        <f t="shared" si="21"/>
        <v>2046.2699999999995</v>
      </c>
      <c r="I347" s="100">
        <f>I346+1*(I356-I346)/10</f>
        <v>2767.5699999999997</v>
      </c>
      <c r="J347" s="225">
        <f t="shared" si="23"/>
        <v>170.5</v>
      </c>
      <c r="K347" s="19"/>
    </row>
    <row r="348" spans="2:11" ht="12.75">
      <c r="B348" s="111">
        <f t="shared" si="22"/>
        <v>171</v>
      </c>
      <c r="C348" s="43">
        <f>C346+2*(C356-C346)/10</f>
        <v>8.12104</v>
      </c>
      <c r="D348" s="94">
        <f>D346+2*(D356-D346)/10</f>
        <v>0.00111578</v>
      </c>
      <c r="E348" s="96">
        <f t="shared" si="20"/>
        <v>0.23623222</v>
      </c>
      <c r="F348" s="43">
        <f>F346+2*(F356-F346)/10</f>
        <v>0.237348</v>
      </c>
      <c r="G348" s="100">
        <f>G346+2*(G356-G346)/10</f>
        <v>723.5</v>
      </c>
      <c r="H348" s="98">
        <f t="shared" si="21"/>
        <v>2044.54</v>
      </c>
      <c r="I348" s="100">
        <f>I346+2*(I356-I346)/10</f>
        <v>2768.04</v>
      </c>
      <c r="J348" s="225">
        <f t="shared" si="23"/>
        <v>171</v>
      </c>
      <c r="K348" s="19"/>
    </row>
    <row r="349" spans="2:11" ht="12.75">
      <c r="B349" s="111">
        <f t="shared" si="22"/>
        <v>171.5</v>
      </c>
      <c r="C349" s="43">
        <f>C346+3*(C356-C346)/10</f>
        <v>8.22146</v>
      </c>
      <c r="D349" s="94">
        <f>D346+3*(D356-D346)/10</f>
        <v>0.00111642</v>
      </c>
      <c r="E349" s="96">
        <f t="shared" si="20"/>
        <v>0.23363057999999998</v>
      </c>
      <c r="F349" s="43">
        <f>F346+3*(F356-F346)/10</f>
        <v>0.23474699999999998</v>
      </c>
      <c r="G349" s="100">
        <f>G346+3*(G356-G346)/10</f>
        <v>725.7</v>
      </c>
      <c r="H349" s="98">
        <f t="shared" si="21"/>
        <v>2042.8100000000002</v>
      </c>
      <c r="I349" s="100">
        <f>I346+3*(I356-I346)/10</f>
        <v>2768.51</v>
      </c>
      <c r="J349" s="225">
        <f t="shared" si="23"/>
        <v>171.5</v>
      </c>
      <c r="K349" s="19"/>
    </row>
    <row r="350" spans="2:11" ht="12.75">
      <c r="B350" s="111">
        <f t="shared" si="22"/>
        <v>172</v>
      </c>
      <c r="C350" s="43">
        <f>C346+4*(C356-C346)/10</f>
        <v>8.32188</v>
      </c>
      <c r="D350" s="94">
        <f>D346+4*(D356-D346)/10</f>
        <v>0.00111706</v>
      </c>
      <c r="E350" s="96">
        <f t="shared" si="20"/>
        <v>0.23102894</v>
      </c>
      <c r="F350" s="43">
        <f>F346+4*(F356-F346)/10</f>
        <v>0.232146</v>
      </c>
      <c r="G350" s="100">
        <f>G346+4*(G356-G346)/10</f>
        <v>727.9</v>
      </c>
      <c r="H350" s="98">
        <f t="shared" si="21"/>
        <v>2041.08</v>
      </c>
      <c r="I350" s="100">
        <f>I346+4*(I356-I346)/10</f>
        <v>2768.98</v>
      </c>
      <c r="J350" s="225">
        <f t="shared" si="23"/>
        <v>172</v>
      </c>
      <c r="K350" s="19"/>
    </row>
    <row r="351" spans="2:11" ht="12.75">
      <c r="B351" s="111">
        <f t="shared" si="22"/>
        <v>172.5</v>
      </c>
      <c r="C351" s="43">
        <f>C346+5*(C356-C346)/10</f>
        <v>8.4223</v>
      </c>
      <c r="D351" s="94">
        <f>D346+5*(D356-D346)/10</f>
        <v>0.0011177000000000001</v>
      </c>
      <c r="E351" s="96">
        <f t="shared" si="20"/>
        <v>0.2284273</v>
      </c>
      <c r="F351" s="43">
        <f>F346+5*(F356-F346)/10</f>
        <v>0.229545</v>
      </c>
      <c r="G351" s="100">
        <f>G346+5*(G356-G346)/10</f>
        <v>730.1</v>
      </c>
      <c r="H351" s="98">
        <f t="shared" si="21"/>
        <v>2039.35</v>
      </c>
      <c r="I351" s="100">
        <f>I346+5*(I356-I346)/10</f>
        <v>2769.45</v>
      </c>
      <c r="J351" s="225">
        <f t="shared" si="23"/>
        <v>172.5</v>
      </c>
      <c r="K351" s="19"/>
    </row>
    <row r="352" spans="2:11" ht="12.75">
      <c r="B352" s="111">
        <f t="shared" si="22"/>
        <v>173</v>
      </c>
      <c r="C352" s="43">
        <f>C346+6*(C356-C346)/10</f>
        <v>8.52272</v>
      </c>
      <c r="D352" s="94">
        <f>D346+6*(D356-D346)/10</f>
        <v>0.00111834</v>
      </c>
      <c r="E352" s="96">
        <f t="shared" si="20"/>
        <v>0.22582566</v>
      </c>
      <c r="F352" s="43">
        <f>F346+6*(F356-F346)/10</f>
        <v>0.226944</v>
      </c>
      <c r="G352" s="100">
        <f>G346+6*(G356-G346)/10</f>
        <v>732.3000000000001</v>
      </c>
      <c r="H352" s="98">
        <f t="shared" si="21"/>
        <v>2037.62</v>
      </c>
      <c r="I352" s="100">
        <f>I346+6*(I356-I346)/10</f>
        <v>2769.92</v>
      </c>
      <c r="J352" s="225">
        <f t="shared" si="23"/>
        <v>173</v>
      </c>
      <c r="K352" s="19"/>
    </row>
    <row r="353" spans="2:11" ht="12.75">
      <c r="B353" s="111">
        <f t="shared" si="22"/>
        <v>173.5</v>
      </c>
      <c r="C353" s="43">
        <f>C346+7*(C356-C346)/10</f>
        <v>8.623140000000001</v>
      </c>
      <c r="D353" s="94">
        <f>D346+7*(D356-D346)/10</f>
        <v>0.0011189799999999999</v>
      </c>
      <c r="E353" s="96">
        <f t="shared" si="20"/>
        <v>0.22322402000000002</v>
      </c>
      <c r="F353" s="43">
        <f>F346+7*(F356-F346)/10</f>
        <v>0.22434300000000001</v>
      </c>
      <c r="G353" s="100">
        <f>G346+7*(G356-G346)/10</f>
        <v>734.5</v>
      </c>
      <c r="H353" s="98">
        <f t="shared" si="21"/>
        <v>2035.8900000000003</v>
      </c>
      <c r="I353" s="100">
        <f>I346+7*(I356-I346)/10</f>
        <v>2770.3900000000003</v>
      </c>
      <c r="J353" s="225">
        <f t="shared" si="23"/>
        <v>173.5</v>
      </c>
      <c r="K353" s="19"/>
    </row>
    <row r="354" spans="2:11" ht="12.75">
      <c r="B354" s="111">
        <f t="shared" si="22"/>
        <v>174</v>
      </c>
      <c r="C354" s="43">
        <f>C346+8*(C356-C346)/10</f>
        <v>8.72356</v>
      </c>
      <c r="D354" s="94">
        <f>D346+8*(D356-D346)/10</f>
        <v>0.00111962</v>
      </c>
      <c r="E354" s="96">
        <f t="shared" si="20"/>
        <v>0.22062238</v>
      </c>
      <c r="F354" s="43">
        <f>F346+8*(F356-F346)/10</f>
        <v>0.221742</v>
      </c>
      <c r="G354" s="100">
        <f>G346+8*(G356-G346)/10</f>
        <v>736.7</v>
      </c>
      <c r="H354" s="98">
        <f t="shared" si="21"/>
        <v>2034.16</v>
      </c>
      <c r="I354" s="100">
        <f>I346+8*(I356-I346)/10</f>
        <v>2770.86</v>
      </c>
      <c r="J354" s="225">
        <f t="shared" si="23"/>
        <v>174</v>
      </c>
      <c r="K354" s="19"/>
    </row>
    <row r="355" spans="2:11" ht="12.75">
      <c r="B355" s="111">
        <f t="shared" si="22"/>
        <v>174.5</v>
      </c>
      <c r="C355" s="43">
        <f>C346+9*(C356-C346)/10</f>
        <v>8.82398</v>
      </c>
      <c r="D355" s="94">
        <f>D346+9*(D356-D346)/10</f>
        <v>0.00112026</v>
      </c>
      <c r="E355" s="96">
        <f t="shared" si="20"/>
        <v>0.21802074</v>
      </c>
      <c r="F355" s="43">
        <f>F346+9*(F356-F346)/10</f>
        <v>0.219141</v>
      </c>
      <c r="G355" s="100">
        <f>G346+9*(G356-G346)/10</f>
        <v>738.9</v>
      </c>
      <c r="H355" s="98">
        <f t="shared" si="21"/>
        <v>2032.4299999999998</v>
      </c>
      <c r="I355" s="100">
        <f>I346+9*(I356-I346)/10</f>
        <v>2771.33</v>
      </c>
      <c r="J355" s="225">
        <f t="shared" si="23"/>
        <v>174.5</v>
      </c>
      <c r="K355" s="19"/>
    </row>
    <row r="356" spans="2:11" ht="12.75">
      <c r="B356" s="111">
        <f t="shared" si="22"/>
        <v>175</v>
      </c>
      <c r="C356" s="43">
        <v>8.9244</v>
      </c>
      <c r="D356" s="94">
        <v>0.0011209</v>
      </c>
      <c r="E356" s="96">
        <f t="shared" si="20"/>
        <v>0.2154191</v>
      </c>
      <c r="F356" s="43">
        <v>0.21654</v>
      </c>
      <c r="G356" s="100">
        <v>741.1</v>
      </c>
      <c r="H356" s="98">
        <f t="shared" si="21"/>
        <v>2030.7000000000003</v>
      </c>
      <c r="I356" s="100">
        <v>2771.8</v>
      </c>
      <c r="J356" s="225">
        <f t="shared" si="23"/>
        <v>175</v>
      </c>
      <c r="K356" s="19"/>
    </row>
    <row r="357" spans="2:11" ht="12.75">
      <c r="B357" s="111">
        <f t="shared" si="22"/>
        <v>175.5</v>
      </c>
      <c r="C357" s="43">
        <f>C356+1*(C366-C356)/10</f>
        <v>9.03466</v>
      </c>
      <c r="D357" s="94">
        <f>D356+1*(D366-D356)/10</f>
        <v>0.00112156</v>
      </c>
      <c r="E357" s="96">
        <f t="shared" si="20"/>
        <v>0.21314444000000002</v>
      </c>
      <c r="F357" s="43">
        <f>F356+1*(F366-F356)/10</f>
        <v>0.214266</v>
      </c>
      <c r="G357" s="100">
        <f>G356+1*(G366-G356)/10</f>
        <v>743.3000000000001</v>
      </c>
      <c r="H357" s="98">
        <f t="shared" si="21"/>
        <v>2028.9499999999998</v>
      </c>
      <c r="I357" s="100">
        <f>I356+1*(I366-I356)/10</f>
        <v>2772.25</v>
      </c>
      <c r="J357" s="225">
        <f t="shared" si="23"/>
        <v>175.5</v>
      </c>
      <c r="K357" s="19"/>
    </row>
    <row r="358" spans="2:11" ht="12.75">
      <c r="B358" s="111">
        <f t="shared" si="22"/>
        <v>176</v>
      </c>
      <c r="C358" s="43">
        <f>C356+2*(C366-C356)/10</f>
        <v>9.14492</v>
      </c>
      <c r="D358" s="94">
        <f>D356+2*(D366-D356)/10</f>
        <v>0.00112222</v>
      </c>
      <c r="E358" s="96">
        <f t="shared" si="20"/>
        <v>0.21086978</v>
      </c>
      <c r="F358" s="43">
        <f>F356+2*(F366-F356)/10</f>
        <v>0.211992</v>
      </c>
      <c r="G358" s="100">
        <f>G356+2*(G366-G356)/10</f>
        <v>745.5</v>
      </c>
      <c r="H358" s="98">
        <f t="shared" si="21"/>
        <v>2027.2000000000003</v>
      </c>
      <c r="I358" s="100">
        <f>I356+2*(I366-I356)/10</f>
        <v>2772.7000000000003</v>
      </c>
      <c r="J358" s="225">
        <f t="shared" si="23"/>
        <v>176</v>
      </c>
      <c r="K358" s="19"/>
    </row>
    <row r="359" spans="2:11" ht="12.75">
      <c r="B359" s="111">
        <f t="shared" si="22"/>
        <v>176.5</v>
      </c>
      <c r="C359" s="43">
        <f>C356+3*(C366-C356)/10</f>
        <v>9.25518</v>
      </c>
      <c r="D359" s="94">
        <f>D356+3*(D366-D356)/10</f>
        <v>0.00112288</v>
      </c>
      <c r="E359" s="96">
        <f t="shared" si="20"/>
        <v>0.20859512000000002</v>
      </c>
      <c r="F359" s="43">
        <f>F356+3*(F366-F356)/10</f>
        <v>0.20971800000000002</v>
      </c>
      <c r="G359" s="100">
        <f>G356+3*(G366-G356)/10</f>
        <v>747.7</v>
      </c>
      <c r="H359" s="98">
        <f t="shared" si="21"/>
        <v>2025.45</v>
      </c>
      <c r="I359" s="100">
        <f>I356+3*(I366-I356)/10</f>
        <v>2773.15</v>
      </c>
      <c r="J359" s="225">
        <f t="shared" si="23"/>
        <v>176.5</v>
      </c>
      <c r="K359" s="19"/>
    </row>
    <row r="360" spans="2:11" ht="12.75">
      <c r="B360" s="111">
        <f t="shared" si="22"/>
        <v>177</v>
      </c>
      <c r="C360" s="43">
        <f>C356+4*(C366-C356)/10</f>
        <v>9.36544</v>
      </c>
      <c r="D360" s="94">
        <f>D356+4*(D366-D356)/10</f>
        <v>0.00112354</v>
      </c>
      <c r="E360" s="96">
        <f t="shared" si="20"/>
        <v>0.20632046</v>
      </c>
      <c r="F360" s="43">
        <f>F356+4*(F366-F356)/10</f>
        <v>0.20744400000000002</v>
      </c>
      <c r="G360" s="100">
        <f>G356+4*(G366-G356)/10</f>
        <v>749.9</v>
      </c>
      <c r="H360" s="98">
        <f t="shared" si="21"/>
        <v>2023.7000000000003</v>
      </c>
      <c r="I360" s="100">
        <f>I356+4*(I366-I356)/10</f>
        <v>2773.6000000000004</v>
      </c>
      <c r="J360" s="225">
        <f t="shared" si="23"/>
        <v>177</v>
      </c>
      <c r="K360" s="19"/>
    </row>
    <row r="361" spans="2:11" ht="12.75">
      <c r="B361" s="111">
        <f t="shared" si="22"/>
        <v>177.5</v>
      </c>
      <c r="C361" s="43">
        <f>C356+5*(C366-C356)/10</f>
        <v>9.4757</v>
      </c>
      <c r="D361" s="94">
        <f>D356+5*(D366-D356)/10</f>
        <v>0.0011242000000000001</v>
      </c>
      <c r="E361" s="96">
        <f t="shared" si="20"/>
        <v>0.20404580000000003</v>
      </c>
      <c r="F361" s="43">
        <f>F356+5*(F366-F356)/10</f>
        <v>0.20517000000000002</v>
      </c>
      <c r="G361" s="100">
        <f>G356+5*(G366-G356)/10</f>
        <v>752.1</v>
      </c>
      <c r="H361" s="98">
        <f t="shared" si="21"/>
        <v>2021.9500000000003</v>
      </c>
      <c r="I361" s="100">
        <f>I356+5*(I366-I356)/10</f>
        <v>2774.05</v>
      </c>
      <c r="J361" s="225">
        <f t="shared" si="23"/>
        <v>177.5</v>
      </c>
      <c r="K361" s="19"/>
    </row>
    <row r="362" spans="2:11" ht="12.75">
      <c r="B362" s="111">
        <f t="shared" si="22"/>
        <v>178</v>
      </c>
      <c r="C362" s="43">
        <f>C356+6*(C366-C356)/10</f>
        <v>9.58596</v>
      </c>
      <c r="D362" s="94">
        <f>D356+6*(D366-D356)/10</f>
        <v>0.00112486</v>
      </c>
      <c r="E362" s="96">
        <f t="shared" si="20"/>
        <v>0.20177114</v>
      </c>
      <c r="F362" s="43">
        <f>F356+6*(F366-F356)/10</f>
        <v>0.202896</v>
      </c>
      <c r="G362" s="100">
        <f>G356+6*(G366-G356)/10</f>
        <v>754.3000000000001</v>
      </c>
      <c r="H362" s="98">
        <f t="shared" si="21"/>
        <v>2020.1999999999998</v>
      </c>
      <c r="I362" s="100">
        <f>I356+6*(I366-I356)/10</f>
        <v>2774.5</v>
      </c>
      <c r="J362" s="225">
        <f t="shared" si="23"/>
        <v>178</v>
      </c>
      <c r="K362" s="19"/>
    </row>
    <row r="363" spans="2:11" ht="12.75">
      <c r="B363" s="111">
        <f t="shared" si="22"/>
        <v>178.5</v>
      </c>
      <c r="C363" s="43">
        <f>C356+7*(C366-C356)/10</f>
        <v>9.69622</v>
      </c>
      <c r="D363" s="94">
        <f>D356+7*(D366-D356)/10</f>
        <v>0.00112552</v>
      </c>
      <c r="E363" s="96">
        <f t="shared" si="20"/>
        <v>0.19949648</v>
      </c>
      <c r="F363" s="43">
        <f>F356+7*(F366-F356)/10</f>
        <v>0.200622</v>
      </c>
      <c r="G363" s="100">
        <f>G356+7*(G366-G356)/10</f>
        <v>756.5</v>
      </c>
      <c r="H363" s="98">
        <f t="shared" si="21"/>
        <v>2018.4500000000003</v>
      </c>
      <c r="I363" s="100">
        <f>I356+7*(I366-I356)/10</f>
        <v>2774.9500000000003</v>
      </c>
      <c r="J363" s="225">
        <f t="shared" si="23"/>
        <v>178.5</v>
      </c>
      <c r="K363" s="19"/>
    </row>
    <row r="364" spans="2:11" ht="12.75">
      <c r="B364" s="111">
        <f t="shared" si="22"/>
        <v>179</v>
      </c>
      <c r="C364" s="43">
        <f>C356+8*(C366-C356)/10</f>
        <v>9.806479999999999</v>
      </c>
      <c r="D364" s="94">
        <f>D356+8*(D366-D356)/10</f>
        <v>0.00112618</v>
      </c>
      <c r="E364" s="96">
        <f t="shared" si="20"/>
        <v>0.19722182</v>
      </c>
      <c r="F364" s="43">
        <f>F356+8*(F366-F356)/10</f>
        <v>0.198348</v>
      </c>
      <c r="G364" s="100">
        <f>G356+8*(G366-G356)/10</f>
        <v>758.7</v>
      </c>
      <c r="H364" s="98">
        <f t="shared" si="21"/>
        <v>2016.7</v>
      </c>
      <c r="I364" s="100">
        <f>I356+8*(I366-I356)/10</f>
        <v>2775.4</v>
      </c>
      <c r="J364" s="225">
        <f t="shared" si="23"/>
        <v>179</v>
      </c>
      <c r="K364" s="19"/>
    </row>
    <row r="365" spans="2:11" ht="12.75">
      <c r="B365" s="111">
        <f t="shared" si="22"/>
        <v>179.5</v>
      </c>
      <c r="C365" s="43">
        <f>C356+9*(C366-C356)/10</f>
        <v>9.916739999999999</v>
      </c>
      <c r="D365" s="94">
        <f>D356+9*(D366-D356)/10</f>
        <v>0.00112684</v>
      </c>
      <c r="E365" s="96">
        <f t="shared" si="20"/>
        <v>0.19494716</v>
      </c>
      <c r="F365" s="43">
        <f>F356+9*(F366-F356)/10</f>
        <v>0.196074</v>
      </c>
      <c r="G365" s="100">
        <f>G356+9*(G366-G356)/10</f>
        <v>760.9</v>
      </c>
      <c r="H365" s="98">
        <f t="shared" si="21"/>
        <v>2014.9500000000003</v>
      </c>
      <c r="I365" s="100">
        <f>I356+9*(I366-I356)/10</f>
        <v>2775.8500000000004</v>
      </c>
      <c r="J365" s="225">
        <f t="shared" si="23"/>
        <v>179.5</v>
      </c>
      <c r="K365" s="19"/>
    </row>
    <row r="366" spans="2:11" ht="12.75">
      <c r="B366" s="111">
        <f t="shared" si="22"/>
        <v>180</v>
      </c>
      <c r="C366" s="227">
        <v>10.027</v>
      </c>
      <c r="D366" s="93">
        <v>0.0011275</v>
      </c>
      <c r="E366" s="96">
        <f t="shared" si="20"/>
        <v>0.1926725</v>
      </c>
      <c r="F366" s="228">
        <v>0.1938</v>
      </c>
      <c r="G366" s="98">
        <v>763.1</v>
      </c>
      <c r="H366" s="98">
        <f t="shared" si="21"/>
        <v>2013.2000000000003</v>
      </c>
      <c r="I366" s="98">
        <v>2776.3</v>
      </c>
      <c r="J366" s="225">
        <f t="shared" si="23"/>
        <v>180</v>
      </c>
      <c r="K366" s="19"/>
    </row>
    <row r="367" spans="2:11" ht="12.75">
      <c r="B367" s="111">
        <f t="shared" si="22"/>
        <v>180.5</v>
      </c>
      <c r="C367" s="227">
        <f>C366+1*(C376-C366)/10</f>
        <v>10.147599999999999</v>
      </c>
      <c r="D367" s="93">
        <f>D366+1*(D376-D366)/10</f>
        <v>0.00112819</v>
      </c>
      <c r="E367" s="96">
        <f t="shared" si="20"/>
        <v>0.19067781</v>
      </c>
      <c r="F367" s="228">
        <f>F366+1*(F376-F366)/10</f>
        <v>0.191806</v>
      </c>
      <c r="G367" s="98">
        <f>G366+1*(G376-G366)/10</f>
        <v>765.32</v>
      </c>
      <c r="H367" s="98">
        <f t="shared" si="21"/>
        <v>2011.3899999999999</v>
      </c>
      <c r="I367" s="98">
        <f>I366+1*(I376-I366)/10</f>
        <v>2776.71</v>
      </c>
      <c r="J367" s="225">
        <f t="shared" si="23"/>
        <v>180.5</v>
      </c>
      <c r="K367" s="19"/>
    </row>
    <row r="368" spans="2:11" ht="12.75">
      <c r="B368" s="111">
        <f t="shared" si="22"/>
        <v>181</v>
      </c>
      <c r="C368" s="227">
        <f>C366+2*(C376-C366)/10</f>
        <v>10.2682</v>
      </c>
      <c r="D368" s="93">
        <f>D366+2*(D376-D366)/10</f>
        <v>0.00112888</v>
      </c>
      <c r="E368" s="96">
        <f t="shared" si="20"/>
        <v>0.18868312</v>
      </c>
      <c r="F368" s="228">
        <f>F366+2*(F376-F366)/10</f>
        <v>0.189812</v>
      </c>
      <c r="G368" s="98">
        <f>G366+2*(G376-G366)/10</f>
        <v>767.54</v>
      </c>
      <c r="H368" s="98">
        <f t="shared" si="21"/>
        <v>2009.5800000000004</v>
      </c>
      <c r="I368" s="98">
        <f>I366+2*(I376-I366)/10</f>
        <v>2777.1200000000003</v>
      </c>
      <c r="J368" s="225">
        <f t="shared" si="23"/>
        <v>181</v>
      </c>
      <c r="K368" s="19"/>
    </row>
    <row r="369" spans="2:11" ht="12.75">
      <c r="B369" s="111">
        <f t="shared" si="22"/>
        <v>181.5</v>
      </c>
      <c r="C369" s="227">
        <f>C366+3*(C376-C366)/10</f>
        <v>10.3888</v>
      </c>
      <c r="D369" s="93">
        <f>D366+3*(D376-D366)/10</f>
        <v>0.00112957</v>
      </c>
      <c r="E369" s="96">
        <f t="shared" si="20"/>
        <v>0.18668843</v>
      </c>
      <c r="F369" s="228">
        <f>F366+3*(F376-F366)/10</f>
        <v>0.18781799999999998</v>
      </c>
      <c r="G369" s="98">
        <f>G366+3*(G376-G366)/10</f>
        <v>769.76</v>
      </c>
      <c r="H369" s="98">
        <f t="shared" si="21"/>
        <v>2007.7700000000002</v>
      </c>
      <c r="I369" s="98">
        <f>I366+3*(I376-I366)/10</f>
        <v>2777.53</v>
      </c>
      <c r="J369" s="225">
        <f t="shared" si="23"/>
        <v>181.5</v>
      </c>
      <c r="K369" s="19"/>
    </row>
    <row r="370" spans="2:11" ht="12.75">
      <c r="B370" s="111">
        <f t="shared" si="22"/>
        <v>182</v>
      </c>
      <c r="C370" s="227">
        <f>C366+4*(C376-C366)/10</f>
        <v>10.5094</v>
      </c>
      <c r="D370" s="93">
        <f>D366+4*(D376-D366)/10</f>
        <v>0.0011302600000000001</v>
      </c>
      <c r="E370" s="96">
        <f t="shared" si="20"/>
        <v>0.18469374</v>
      </c>
      <c r="F370" s="228">
        <f>F366+4*(F376-F366)/10</f>
        <v>0.185824</v>
      </c>
      <c r="G370" s="98">
        <f>G366+4*(G376-G366)/10</f>
        <v>771.98</v>
      </c>
      <c r="H370" s="98">
        <f t="shared" si="21"/>
        <v>2005.96</v>
      </c>
      <c r="I370" s="98">
        <f>I366+4*(I376-I366)/10</f>
        <v>2777.94</v>
      </c>
      <c r="J370" s="225">
        <f t="shared" si="23"/>
        <v>182</v>
      </c>
      <c r="K370" s="19"/>
    </row>
    <row r="371" spans="2:11" ht="12.75">
      <c r="B371" s="111">
        <f t="shared" si="22"/>
        <v>182.5</v>
      </c>
      <c r="C371" s="227">
        <f>C366+5*(C376-C366)/10</f>
        <v>10.629999999999999</v>
      </c>
      <c r="D371" s="93">
        <f>D366+5*(D376-D366)/10</f>
        <v>0.00113095</v>
      </c>
      <c r="E371" s="96">
        <f t="shared" si="20"/>
        <v>0.18269905</v>
      </c>
      <c r="F371" s="228">
        <f>F366+5*(F376-F366)/10</f>
        <v>0.18383</v>
      </c>
      <c r="G371" s="98">
        <f>G366+5*(G376-G366)/10</f>
        <v>774.2</v>
      </c>
      <c r="H371" s="98">
        <f t="shared" si="21"/>
        <v>2004.1500000000003</v>
      </c>
      <c r="I371" s="98">
        <f>I366+5*(I376-I366)/10</f>
        <v>2778.3500000000004</v>
      </c>
      <c r="J371" s="225">
        <f t="shared" si="23"/>
        <v>182.5</v>
      </c>
      <c r="K371" s="19"/>
    </row>
    <row r="372" spans="2:11" ht="12.75">
      <c r="B372" s="111">
        <f t="shared" si="22"/>
        <v>183</v>
      </c>
      <c r="C372" s="227">
        <f>C366+6*(C376-C366)/10</f>
        <v>10.7506</v>
      </c>
      <c r="D372" s="93">
        <f>D366+6*(D376-D366)/10</f>
        <v>0.00113164</v>
      </c>
      <c r="E372" s="96">
        <f t="shared" si="20"/>
        <v>0.18070436</v>
      </c>
      <c r="F372" s="228">
        <f>F366+6*(F376-F366)/10</f>
        <v>0.181836</v>
      </c>
      <c r="G372" s="98">
        <f>G366+6*(G376-G366)/10</f>
        <v>776.42</v>
      </c>
      <c r="H372" s="98">
        <f t="shared" si="21"/>
        <v>2002.3400000000001</v>
      </c>
      <c r="I372" s="98">
        <f>I366+6*(I376-I366)/10</f>
        <v>2778.76</v>
      </c>
      <c r="J372" s="225">
        <f t="shared" si="23"/>
        <v>183</v>
      </c>
      <c r="K372" s="19"/>
    </row>
    <row r="373" spans="2:11" ht="12.75">
      <c r="B373" s="111">
        <f t="shared" si="22"/>
        <v>183.5</v>
      </c>
      <c r="C373" s="227">
        <f>C366+7*(C376-C366)/10</f>
        <v>10.8712</v>
      </c>
      <c r="D373" s="93">
        <f>D366+7*(D376-D366)/10</f>
        <v>0.00113233</v>
      </c>
      <c r="E373" s="96">
        <f t="shared" si="20"/>
        <v>0.17870967000000001</v>
      </c>
      <c r="F373" s="228">
        <f>F366+7*(F376-F366)/10</f>
        <v>0.179842</v>
      </c>
      <c r="G373" s="98">
        <f>G366+7*(G376-G366)/10</f>
        <v>778.64</v>
      </c>
      <c r="H373" s="98">
        <f t="shared" si="21"/>
        <v>2000.5300000000002</v>
      </c>
      <c r="I373" s="98">
        <f>I366+7*(I376-I366)/10</f>
        <v>2779.17</v>
      </c>
      <c r="J373" s="225">
        <f t="shared" si="23"/>
        <v>183.5</v>
      </c>
      <c r="K373" s="19"/>
    </row>
    <row r="374" spans="2:11" ht="12.75">
      <c r="B374" s="111">
        <f t="shared" si="22"/>
        <v>184</v>
      </c>
      <c r="C374" s="227">
        <f>C366+8*(C376-C366)/10</f>
        <v>10.9918</v>
      </c>
      <c r="D374" s="93">
        <f>D366+8*(D376-D366)/10</f>
        <v>0.00113302</v>
      </c>
      <c r="E374" s="96">
        <f t="shared" si="20"/>
        <v>0.17671497999999997</v>
      </c>
      <c r="F374" s="228">
        <f>F366+8*(F376-F366)/10</f>
        <v>0.17784799999999998</v>
      </c>
      <c r="G374" s="98">
        <f>G366+8*(G376-G366)/10</f>
        <v>780.86</v>
      </c>
      <c r="H374" s="98">
        <f t="shared" si="21"/>
        <v>1998.7199999999998</v>
      </c>
      <c r="I374" s="98">
        <f>I366+8*(I376-I366)/10</f>
        <v>2779.58</v>
      </c>
      <c r="J374" s="225">
        <f t="shared" si="23"/>
        <v>184</v>
      </c>
      <c r="K374" s="19"/>
    </row>
    <row r="375" spans="2:11" ht="12.75">
      <c r="B375" s="111">
        <f t="shared" si="22"/>
        <v>184.5</v>
      </c>
      <c r="C375" s="227">
        <f>C366+9*(C376-C366)/10</f>
        <v>11.112400000000001</v>
      </c>
      <c r="D375" s="93">
        <f>D366+9*(D376-D366)/10</f>
        <v>0.00113371</v>
      </c>
      <c r="E375" s="96">
        <f t="shared" si="20"/>
        <v>0.17472028999999997</v>
      </c>
      <c r="F375" s="228">
        <f>F366+9*(F376-F366)/10</f>
        <v>0.17585399999999998</v>
      </c>
      <c r="G375" s="98">
        <f>G366+9*(G376-G366)/10</f>
        <v>783.0799999999999</v>
      </c>
      <c r="H375" s="98">
        <f t="shared" si="21"/>
        <v>1996.9100000000003</v>
      </c>
      <c r="I375" s="98">
        <f>I366+9*(I376-I366)/10</f>
        <v>2779.9900000000002</v>
      </c>
      <c r="J375" s="225">
        <f t="shared" si="23"/>
        <v>184.5</v>
      </c>
      <c r="K375" s="19"/>
    </row>
    <row r="376" spans="2:11" ht="12.75">
      <c r="B376" s="111">
        <f t="shared" si="22"/>
        <v>185</v>
      </c>
      <c r="C376" s="227">
        <v>11.233</v>
      </c>
      <c r="D376" s="93">
        <v>0.0011344</v>
      </c>
      <c r="E376" s="180">
        <f>F376-D376</f>
        <v>0.17272559999999998</v>
      </c>
      <c r="F376" s="180">
        <v>0.17386</v>
      </c>
      <c r="G376" s="180">
        <v>785.3</v>
      </c>
      <c r="H376" s="180">
        <f>I376-G376</f>
        <v>1995.1000000000001</v>
      </c>
      <c r="I376" s="180">
        <v>2780.4</v>
      </c>
      <c r="J376" s="225">
        <f t="shared" si="23"/>
        <v>185</v>
      </c>
      <c r="K376" s="19"/>
    </row>
    <row r="377" spans="2:11" ht="12.75">
      <c r="B377" s="111">
        <f t="shared" si="22"/>
        <v>185.5</v>
      </c>
      <c r="C377" s="227">
        <f>C376+1*(C386-C376)/10</f>
        <v>11.3648</v>
      </c>
      <c r="D377" s="93">
        <f>D376+1*(D386-D376)/10</f>
        <v>0.00113511</v>
      </c>
      <c r="E377" s="96">
        <f aca="true" t="shared" si="24" ref="E377:E385">F377-D377</f>
        <v>0.17097089</v>
      </c>
      <c r="F377" s="228">
        <f>F376+1*(F386-F376)/10</f>
        <v>0.17210599999999998</v>
      </c>
      <c r="G377" s="98">
        <f>G376+1*(G386-G376)/10</f>
        <v>787.52</v>
      </c>
      <c r="H377" s="98">
        <f aca="true" t="shared" si="25" ref="H377:H385">I377-G377</f>
        <v>1993.27</v>
      </c>
      <c r="I377" s="98">
        <f>I376+1*(I386-I376)/10</f>
        <v>2780.79</v>
      </c>
      <c r="J377" s="225">
        <f t="shared" si="23"/>
        <v>185.5</v>
      </c>
      <c r="K377" s="19"/>
    </row>
    <row r="378" spans="2:11" ht="12.75">
      <c r="B378" s="111">
        <f t="shared" si="22"/>
        <v>186</v>
      </c>
      <c r="C378" s="227">
        <f>C376+2*(C386-C376)/10</f>
        <v>11.4966</v>
      </c>
      <c r="D378" s="93">
        <f>D376+2*(D386-D376)/10</f>
        <v>0.00113582</v>
      </c>
      <c r="E378" s="96">
        <f t="shared" si="24"/>
        <v>0.16921617999999997</v>
      </c>
      <c r="F378" s="228">
        <f>F376+2*(F386-F376)/10</f>
        <v>0.17035199999999998</v>
      </c>
      <c r="G378" s="98">
        <f>G376+2*(G386-G376)/10</f>
        <v>789.74</v>
      </c>
      <c r="H378" s="98">
        <f t="shared" si="25"/>
        <v>1991.4400000000003</v>
      </c>
      <c r="I378" s="98">
        <f>I376+2*(I386-I376)/10</f>
        <v>2781.1800000000003</v>
      </c>
      <c r="J378" s="225">
        <f t="shared" si="23"/>
        <v>186</v>
      </c>
      <c r="K378" s="19"/>
    </row>
    <row r="379" spans="2:11" ht="12.75">
      <c r="B379" s="111">
        <f t="shared" si="22"/>
        <v>186.5</v>
      </c>
      <c r="C379" s="227">
        <f>C376+3*(C386-C376)/10</f>
        <v>11.628400000000001</v>
      </c>
      <c r="D379" s="93">
        <f>D376+3*(D386-D376)/10</f>
        <v>0.00113653</v>
      </c>
      <c r="E379" s="96">
        <f t="shared" si="24"/>
        <v>0.16746147</v>
      </c>
      <c r="F379" s="228">
        <f>F376+3*(F386-F376)/10</f>
        <v>0.168598</v>
      </c>
      <c r="G379" s="98">
        <f>G376+3*(G386-G376)/10</f>
        <v>791.9599999999999</v>
      </c>
      <c r="H379" s="98">
        <f t="shared" si="25"/>
        <v>1989.6100000000001</v>
      </c>
      <c r="I379" s="98">
        <f>I376+3*(I386-I376)/10</f>
        <v>2781.57</v>
      </c>
      <c r="J379" s="225">
        <f t="shared" si="23"/>
        <v>186.5</v>
      </c>
      <c r="K379" s="19"/>
    </row>
    <row r="380" spans="2:11" ht="12.75">
      <c r="B380" s="111">
        <f t="shared" si="22"/>
        <v>187</v>
      </c>
      <c r="C380" s="227">
        <f>C376+4*(C386-C376)/10</f>
        <v>11.760200000000001</v>
      </c>
      <c r="D380" s="93">
        <f>D376+4*(D386-D376)/10</f>
        <v>0.00113724</v>
      </c>
      <c r="E380" s="96">
        <f t="shared" si="24"/>
        <v>0.16570675999999998</v>
      </c>
      <c r="F380" s="228">
        <f>F376+4*(F386-F376)/10</f>
        <v>0.166844</v>
      </c>
      <c r="G380" s="98">
        <f>G376+4*(G386-G376)/10</f>
        <v>794.18</v>
      </c>
      <c r="H380" s="98">
        <f t="shared" si="25"/>
        <v>1987.7800000000002</v>
      </c>
      <c r="I380" s="98">
        <f>I376+4*(I386-I376)/10</f>
        <v>2781.96</v>
      </c>
      <c r="J380" s="225">
        <f t="shared" si="23"/>
        <v>187</v>
      </c>
      <c r="K380" s="19"/>
    </row>
    <row r="381" spans="2:11" ht="12.75">
      <c r="B381" s="111">
        <f t="shared" si="22"/>
        <v>187.5</v>
      </c>
      <c r="C381" s="227">
        <f>C376+5*(C386-C376)/10</f>
        <v>11.892</v>
      </c>
      <c r="D381" s="93">
        <f>D376+5*(D386-D376)/10</f>
        <v>0.00113795</v>
      </c>
      <c r="E381" s="96">
        <f t="shared" si="24"/>
        <v>0.16395205</v>
      </c>
      <c r="F381" s="228">
        <f>F376+5*(F386-F376)/10</f>
        <v>0.16509</v>
      </c>
      <c r="G381" s="98">
        <f>G376+5*(G386-G376)/10</f>
        <v>796.4</v>
      </c>
      <c r="H381" s="98">
        <f t="shared" si="25"/>
        <v>1985.9500000000003</v>
      </c>
      <c r="I381" s="98">
        <f>I376+5*(I386-I376)/10</f>
        <v>2782.3500000000004</v>
      </c>
      <c r="J381" s="225">
        <f t="shared" si="23"/>
        <v>187.5</v>
      </c>
      <c r="K381" s="19"/>
    </row>
    <row r="382" spans="2:11" ht="12.75">
      <c r="B382" s="111">
        <f t="shared" si="22"/>
        <v>188</v>
      </c>
      <c r="C382" s="227">
        <f>C376+6*(C386-C376)/10</f>
        <v>12.0238</v>
      </c>
      <c r="D382" s="93">
        <f>D376+6*(D386-D376)/10</f>
        <v>0.0011386599999999999</v>
      </c>
      <c r="E382" s="96">
        <f t="shared" si="24"/>
        <v>0.16219733999999997</v>
      </c>
      <c r="F382" s="228">
        <f>F376+6*(F386-F376)/10</f>
        <v>0.16333599999999998</v>
      </c>
      <c r="G382" s="98">
        <f>G376+6*(G386-G376)/10</f>
        <v>798.62</v>
      </c>
      <c r="H382" s="98">
        <f t="shared" si="25"/>
        <v>1984.1200000000003</v>
      </c>
      <c r="I382" s="98">
        <f>I376+6*(I386-I376)/10</f>
        <v>2782.7400000000002</v>
      </c>
      <c r="J382" s="225">
        <f t="shared" si="23"/>
        <v>188</v>
      </c>
      <c r="K382" s="19"/>
    </row>
    <row r="383" spans="2:11" ht="12.75">
      <c r="B383" s="111">
        <f t="shared" si="22"/>
        <v>188.5</v>
      </c>
      <c r="C383" s="227">
        <f>C376+7*(C386-C376)/10</f>
        <v>12.1556</v>
      </c>
      <c r="D383" s="93">
        <f>D376+7*(D386-D376)/10</f>
        <v>0.00113937</v>
      </c>
      <c r="E383" s="96">
        <f t="shared" si="24"/>
        <v>0.16044262999999997</v>
      </c>
      <c r="F383" s="228">
        <f>F376+7*(F386-F376)/10</f>
        <v>0.16158199999999998</v>
      </c>
      <c r="G383" s="98">
        <f>G376+7*(G386-G376)/10</f>
        <v>800.84</v>
      </c>
      <c r="H383" s="98">
        <f t="shared" si="25"/>
        <v>1982.29</v>
      </c>
      <c r="I383" s="98">
        <f>I376+7*(I386-I376)/10</f>
        <v>2783.13</v>
      </c>
      <c r="J383" s="225">
        <f t="shared" si="23"/>
        <v>188.5</v>
      </c>
      <c r="K383" s="19"/>
    </row>
    <row r="384" spans="2:11" ht="12.75">
      <c r="B384" s="111">
        <f t="shared" si="22"/>
        <v>189</v>
      </c>
      <c r="C384" s="227">
        <f>C376+8*(C386-C376)/10</f>
        <v>12.2874</v>
      </c>
      <c r="D384" s="93">
        <f>D376+8*(D386-D376)/10</f>
        <v>0.00114008</v>
      </c>
      <c r="E384" s="96">
        <f t="shared" si="24"/>
        <v>0.15868792</v>
      </c>
      <c r="F384" s="228">
        <f>F376+8*(F386-F376)/10</f>
        <v>0.159828</v>
      </c>
      <c r="G384" s="98">
        <f>G376+8*(G386-G376)/10</f>
        <v>803.06</v>
      </c>
      <c r="H384" s="98">
        <f t="shared" si="25"/>
        <v>1980.46</v>
      </c>
      <c r="I384" s="98">
        <f>I376+8*(I386-I376)/10</f>
        <v>2783.52</v>
      </c>
      <c r="J384" s="225">
        <f t="shared" si="23"/>
        <v>189</v>
      </c>
      <c r="K384" s="19"/>
    </row>
    <row r="385" spans="2:11" ht="12.75">
      <c r="B385" s="111">
        <f t="shared" si="22"/>
        <v>189.5</v>
      </c>
      <c r="C385" s="227">
        <f>C376+9*(C386-C376)/10</f>
        <v>12.4192</v>
      </c>
      <c r="D385" s="93">
        <f>D376+9*(D386-D376)/10</f>
        <v>0.00114079</v>
      </c>
      <c r="E385" s="96">
        <f t="shared" si="24"/>
        <v>0.15693321</v>
      </c>
      <c r="F385" s="228">
        <f>F376+9*(F386-F376)/10</f>
        <v>0.158074</v>
      </c>
      <c r="G385" s="98">
        <f>G376+9*(G386-G376)/10</f>
        <v>805.28</v>
      </c>
      <c r="H385" s="98">
        <f t="shared" si="25"/>
        <v>1978.6300000000003</v>
      </c>
      <c r="I385" s="98">
        <f>I376+9*(I386-I376)/10</f>
        <v>2783.9100000000003</v>
      </c>
      <c r="J385" s="225">
        <f t="shared" si="23"/>
        <v>189.5</v>
      </c>
      <c r="K385" s="19"/>
    </row>
    <row r="386" spans="2:11" ht="12.75">
      <c r="B386" s="111">
        <f t="shared" si="22"/>
        <v>190</v>
      </c>
      <c r="C386" s="227">
        <v>12.551</v>
      </c>
      <c r="D386" s="93">
        <v>0.0011415</v>
      </c>
      <c r="E386" s="180">
        <f>F386-D386</f>
        <v>0.1551785</v>
      </c>
      <c r="F386" s="180">
        <v>0.15632</v>
      </c>
      <c r="G386" s="180">
        <v>807.5</v>
      </c>
      <c r="H386" s="180">
        <f>I386-G386</f>
        <v>1976.8000000000002</v>
      </c>
      <c r="I386" s="180">
        <v>2784.3</v>
      </c>
      <c r="J386" s="225">
        <f t="shared" si="23"/>
        <v>190</v>
      </c>
      <c r="K386" s="19"/>
    </row>
    <row r="387" spans="2:11" ht="12.75">
      <c r="B387" s="111">
        <f t="shared" si="22"/>
        <v>190.5</v>
      </c>
      <c r="C387" s="227">
        <f>C386+1*(C396-C386)/10</f>
        <v>12.6946</v>
      </c>
      <c r="D387" s="93">
        <f>D386+1*(D396-D386)/10</f>
        <v>0.0011422399999999999</v>
      </c>
      <c r="E387" s="96">
        <f aca="true" t="shared" si="26" ref="E387:E395">F387-D387</f>
        <v>0.15362976</v>
      </c>
      <c r="F387" s="228">
        <f>F386+1*(F396-F386)/10</f>
        <v>0.154772</v>
      </c>
      <c r="G387" s="98">
        <f>G386+1*(G396-G386)/10</f>
        <v>809.74</v>
      </c>
      <c r="H387" s="98">
        <f aca="true" t="shared" si="27" ref="H387:H395">I387-G387</f>
        <v>1974.91</v>
      </c>
      <c r="I387" s="98">
        <f>I386+1*(I396-I386)/10</f>
        <v>2784.65</v>
      </c>
      <c r="J387" s="225">
        <f t="shared" si="23"/>
        <v>190.5</v>
      </c>
      <c r="K387" s="19"/>
    </row>
    <row r="388" spans="2:11" ht="12.75">
      <c r="B388" s="111">
        <f t="shared" si="22"/>
        <v>191</v>
      </c>
      <c r="C388" s="227">
        <f>C386+2*(C396-C386)/10</f>
        <v>12.8382</v>
      </c>
      <c r="D388" s="93">
        <f>D386+2*(D396-D386)/10</f>
        <v>0.00114298</v>
      </c>
      <c r="E388" s="96">
        <f t="shared" si="26"/>
        <v>0.15208102</v>
      </c>
      <c r="F388" s="228">
        <f>F386+2*(F396-F386)/10</f>
        <v>0.153224</v>
      </c>
      <c r="G388" s="98">
        <f>G386+2*(G396-G386)/10</f>
        <v>811.98</v>
      </c>
      <c r="H388" s="98">
        <f t="shared" si="27"/>
        <v>1973.02</v>
      </c>
      <c r="I388" s="98">
        <f>I386+2*(I396-I386)/10</f>
        <v>2785</v>
      </c>
      <c r="J388" s="225">
        <f t="shared" si="23"/>
        <v>191</v>
      </c>
      <c r="K388" s="19"/>
    </row>
    <row r="389" spans="2:11" ht="12.75">
      <c r="B389" s="111">
        <f t="shared" si="22"/>
        <v>191.5</v>
      </c>
      <c r="C389" s="227">
        <f>C386+3*(C396-C386)/10</f>
        <v>12.9818</v>
      </c>
      <c r="D389" s="93">
        <f>D386+3*(D396-D386)/10</f>
        <v>0.00114372</v>
      </c>
      <c r="E389" s="96">
        <f t="shared" si="26"/>
        <v>0.15053228</v>
      </c>
      <c r="F389" s="228">
        <f>F386+3*(F396-F386)/10</f>
        <v>0.15167599999999998</v>
      </c>
      <c r="G389" s="98">
        <f>G386+3*(G396-G386)/10</f>
        <v>814.22</v>
      </c>
      <c r="H389" s="98">
        <f t="shared" si="27"/>
        <v>1971.1300000000003</v>
      </c>
      <c r="I389" s="98">
        <f>I386+3*(I396-I386)/10</f>
        <v>2785.3500000000004</v>
      </c>
      <c r="J389" s="225">
        <f t="shared" si="23"/>
        <v>191.5</v>
      </c>
      <c r="K389" s="19"/>
    </row>
    <row r="390" spans="2:11" ht="12.75">
      <c r="B390" s="111">
        <f t="shared" si="22"/>
        <v>192</v>
      </c>
      <c r="C390" s="227">
        <f>C386+4*(C396-C386)/10</f>
        <v>13.1254</v>
      </c>
      <c r="D390" s="93">
        <f>D386+4*(D396-D386)/10</f>
        <v>0.00114446</v>
      </c>
      <c r="E390" s="96">
        <f t="shared" si="26"/>
        <v>0.14898353999999997</v>
      </c>
      <c r="F390" s="228">
        <f>F386+4*(F396-F386)/10</f>
        <v>0.15012799999999998</v>
      </c>
      <c r="G390" s="98">
        <f>G386+4*(G396-G386)/10</f>
        <v>816.46</v>
      </c>
      <c r="H390" s="98">
        <f t="shared" si="27"/>
        <v>1969.2400000000002</v>
      </c>
      <c r="I390" s="98">
        <f>I386+4*(I396-I386)/10</f>
        <v>2785.7000000000003</v>
      </c>
      <c r="J390" s="225">
        <f t="shared" si="23"/>
        <v>192</v>
      </c>
      <c r="K390" s="19"/>
    </row>
    <row r="391" spans="2:11" ht="12.75">
      <c r="B391" s="111">
        <f t="shared" si="22"/>
        <v>192.5</v>
      </c>
      <c r="C391" s="227">
        <f>C386+5*(C396-C386)/10</f>
        <v>13.269</v>
      </c>
      <c r="D391" s="93">
        <f>D386+5*(D396-D386)/10</f>
        <v>0.0011451999999999999</v>
      </c>
      <c r="E391" s="96">
        <f t="shared" si="26"/>
        <v>0.14743479999999998</v>
      </c>
      <c r="F391" s="228">
        <f>F386+5*(F396-F386)/10</f>
        <v>0.14858</v>
      </c>
      <c r="G391" s="98">
        <f>G386+5*(G396-G386)/10</f>
        <v>818.7</v>
      </c>
      <c r="H391" s="98">
        <f t="shared" si="27"/>
        <v>1967.3500000000001</v>
      </c>
      <c r="I391" s="98">
        <f>I386+5*(I396-I386)/10</f>
        <v>2786.05</v>
      </c>
      <c r="J391" s="225">
        <f t="shared" si="23"/>
        <v>192.5</v>
      </c>
      <c r="K391" s="19"/>
    </row>
    <row r="392" spans="2:11" ht="12.75">
      <c r="B392" s="111">
        <f aca="true" t="shared" si="28" ref="B392:B455">B391+0.5</f>
        <v>193</v>
      </c>
      <c r="C392" s="227">
        <f>C386+6*(C396-C386)/10</f>
        <v>13.4126</v>
      </c>
      <c r="D392" s="93">
        <f>D386+6*(D396-D386)/10</f>
        <v>0.00114594</v>
      </c>
      <c r="E392" s="96">
        <f t="shared" si="26"/>
        <v>0.14588605999999998</v>
      </c>
      <c r="F392" s="228">
        <f>F386+6*(F396-F386)/10</f>
        <v>0.147032</v>
      </c>
      <c r="G392" s="98">
        <f>G386+6*(G396-G386)/10</f>
        <v>820.9399999999999</v>
      </c>
      <c r="H392" s="98">
        <f t="shared" si="27"/>
        <v>1965.46</v>
      </c>
      <c r="I392" s="98">
        <f>I386+6*(I396-I386)/10</f>
        <v>2786.4</v>
      </c>
      <c r="J392" s="225">
        <f aca="true" t="shared" si="29" ref="J392:J455">J391+0.5</f>
        <v>193</v>
      </c>
      <c r="K392" s="19"/>
    </row>
    <row r="393" spans="2:11" ht="12.75">
      <c r="B393" s="111">
        <f t="shared" si="28"/>
        <v>193.5</v>
      </c>
      <c r="C393" s="227">
        <f>C386+7*(C396-C386)/10</f>
        <v>13.5562</v>
      </c>
      <c r="D393" s="93">
        <f>D386+7*(D396-D386)/10</f>
        <v>0.00114668</v>
      </c>
      <c r="E393" s="96">
        <f t="shared" si="26"/>
        <v>0.14433732</v>
      </c>
      <c r="F393" s="228">
        <f>F386+7*(F396-F386)/10</f>
        <v>0.145484</v>
      </c>
      <c r="G393" s="98">
        <f>G386+7*(G396-G386)/10</f>
        <v>823.18</v>
      </c>
      <c r="H393" s="98">
        <f t="shared" si="27"/>
        <v>1963.5700000000002</v>
      </c>
      <c r="I393" s="98">
        <f>I386+7*(I396-I386)/10</f>
        <v>2786.75</v>
      </c>
      <c r="J393" s="225">
        <f t="shared" si="29"/>
        <v>193.5</v>
      </c>
      <c r="K393" s="19"/>
    </row>
    <row r="394" spans="2:11" ht="12.75">
      <c r="B394" s="111">
        <f t="shared" si="28"/>
        <v>194</v>
      </c>
      <c r="C394" s="227">
        <f>C386+8*(C396-C386)/10</f>
        <v>13.6998</v>
      </c>
      <c r="D394" s="93">
        <f>D386+8*(D396-D386)/10</f>
        <v>0.00114742</v>
      </c>
      <c r="E394" s="96">
        <f t="shared" si="26"/>
        <v>0.14278857999999997</v>
      </c>
      <c r="F394" s="228">
        <f>F386+8*(F396-F386)/10</f>
        <v>0.14393599999999998</v>
      </c>
      <c r="G394" s="98">
        <f>G386+8*(G396-G386)/10</f>
        <v>825.42</v>
      </c>
      <c r="H394" s="98">
        <f t="shared" si="27"/>
        <v>1961.6800000000003</v>
      </c>
      <c r="I394" s="98">
        <f>I386+8*(I396-I386)/10</f>
        <v>2787.1000000000004</v>
      </c>
      <c r="J394" s="225">
        <f t="shared" si="29"/>
        <v>194</v>
      </c>
      <c r="K394" s="19"/>
    </row>
    <row r="395" spans="2:11" ht="12.75">
      <c r="B395" s="111">
        <f t="shared" si="28"/>
        <v>194.5</v>
      </c>
      <c r="C395" s="227">
        <f>C386+9*(C396-C386)/10</f>
        <v>13.8434</v>
      </c>
      <c r="D395" s="93">
        <f>D386+9*(D396-D386)/10</f>
        <v>0.00114816</v>
      </c>
      <c r="E395" s="96">
        <f t="shared" si="26"/>
        <v>0.14123983999999998</v>
      </c>
      <c r="F395" s="228">
        <f>F386+9*(F396-F386)/10</f>
        <v>0.142388</v>
      </c>
      <c r="G395" s="98">
        <f>G386+9*(G396-G386)/10</f>
        <v>827.66</v>
      </c>
      <c r="H395" s="98">
        <f t="shared" si="27"/>
        <v>1959.7900000000004</v>
      </c>
      <c r="I395" s="98">
        <f>I386+9*(I396-I386)/10</f>
        <v>2787.4500000000003</v>
      </c>
      <c r="J395" s="225">
        <f t="shared" si="29"/>
        <v>194.5</v>
      </c>
      <c r="K395" s="19"/>
    </row>
    <row r="396" spans="2:11" ht="12.75">
      <c r="B396" s="111">
        <f t="shared" si="28"/>
        <v>195</v>
      </c>
      <c r="C396" s="227">
        <v>13.987</v>
      </c>
      <c r="D396" s="93">
        <v>0.0011489</v>
      </c>
      <c r="E396" s="180">
        <f>F396-D396</f>
        <v>0.13969109999999998</v>
      </c>
      <c r="F396" s="180">
        <v>0.14084</v>
      </c>
      <c r="G396" s="180">
        <v>829.9</v>
      </c>
      <c r="H396" s="180">
        <f>I396-G396</f>
        <v>1957.9</v>
      </c>
      <c r="I396" s="180">
        <v>2787.8</v>
      </c>
      <c r="J396" s="225">
        <f t="shared" si="29"/>
        <v>195</v>
      </c>
      <c r="K396" s="19"/>
    </row>
    <row r="397" spans="2:11" ht="12.75">
      <c r="B397" s="111">
        <f t="shared" si="28"/>
        <v>195.5</v>
      </c>
      <c r="C397" s="227">
        <f>C396+1*(C406-C396)/10</f>
        <v>14.1432</v>
      </c>
      <c r="D397" s="93">
        <f>D396+1*(D406-D396)/10</f>
        <v>0.00114966</v>
      </c>
      <c r="E397" s="96">
        <f aca="true" t="shared" si="30" ref="E397:E405">F397-D397</f>
        <v>0.13832234</v>
      </c>
      <c r="F397" s="228">
        <f>F396+1*(F406-F396)/10</f>
        <v>0.13947199999999998</v>
      </c>
      <c r="G397" s="98">
        <f>G396+1*(G406-G396)/10</f>
        <v>832.15</v>
      </c>
      <c r="H397" s="98">
        <f aca="true" t="shared" si="31" ref="H397:H405">I397-G397</f>
        <v>1955.96</v>
      </c>
      <c r="I397" s="98">
        <f>I396+1*(I406-I396)/10</f>
        <v>2788.11</v>
      </c>
      <c r="J397" s="225">
        <f t="shared" si="29"/>
        <v>195.5</v>
      </c>
      <c r="K397" s="19"/>
    </row>
    <row r="398" spans="2:11" ht="12.75">
      <c r="B398" s="111">
        <f t="shared" si="28"/>
        <v>196</v>
      </c>
      <c r="C398" s="227">
        <f>C396+2*(C406-C396)/10</f>
        <v>14.2994</v>
      </c>
      <c r="D398" s="93">
        <f>D396+2*(D406-D396)/10</f>
        <v>0.00115042</v>
      </c>
      <c r="E398" s="96">
        <f t="shared" si="30"/>
        <v>0.13695358</v>
      </c>
      <c r="F398" s="228">
        <f>F396+2*(F406-F396)/10</f>
        <v>0.138104</v>
      </c>
      <c r="G398" s="98">
        <f>G396+2*(G406-G396)/10</f>
        <v>834.4</v>
      </c>
      <c r="H398" s="98">
        <f t="shared" si="31"/>
        <v>1954.02</v>
      </c>
      <c r="I398" s="98">
        <f>I396+2*(I406-I396)/10</f>
        <v>2788.42</v>
      </c>
      <c r="J398" s="225">
        <f t="shared" si="29"/>
        <v>196</v>
      </c>
      <c r="K398" s="19"/>
    </row>
    <row r="399" spans="2:11" ht="12.75">
      <c r="B399" s="111">
        <f t="shared" si="28"/>
        <v>196.5</v>
      </c>
      <c r="C399" s="227">
        <f>C396+3*(C406-C396)/10</f>
        <v>14.4556</v>
      </c>
      <c r="D399" s="93">
        <f>D396+3*(D406-D396)/10</f>
        <v>0.00115118</v>
      </c>
      <c r="E399" s="96">
        <f t="shared" si="30"/>
        <v>0.13558482</v>
      </c>
      <c r="F399" s="228">
        <f>F396+3*(F406-F396)/10</f>
        <v>0.136736</v>
      </c>
      <c r="G399" s="98">
        <f>G396+3*(G406-G396)/10</f>
        <v>836.65</v>
      </c>
      <c r="H399" s="98">
        <f t="shared" si="31"/>
        <v>1952.08</v>
      </c>
      <c r="I399" s="98">
        <f>I396+3*(I406-I396)/10</f>
        <v>2788.73</v>
      </c>
      <c r="J399" s="225">
        <f t="shared" si="29"/>
        <v>196.5</v>
      </c>
      <c r="K399" s="19"/>
    </row>
    <row r="400" spans="2:11" ht="12.75">
      <c r="B400" s="111">
        <f t="shared" si="28"/>
        <v>197</v>
      </c>
      <c r="C400" s="227">
        <f>C396+4*(C406-C396)/10</f>
        <v>14.6118</v>
      </c>
      <c r="D400" s="93">
        <f>D396+4*(D406-D396)/10</f>
        <v>0.00115194</v>
      </c>
      <c r="E400" s="96">
        <f t="shared" si="30"/>
        <v>0.13421606</v>
      </c>
      <c r="F400" s="228">
        <f>F396+4*(F406-F396)/10</f>
        <v>0.135368</v>
      </c>
      <c r="G400" s="98">
        <f>G396+4*(G406-G396)/10</f>
        <v>838.9</v>
      </c>
      <c r="H400" s="98">
        <f t="shared" si="31"/>
        <v>1950.1399999999999</v>
      </c>
      <c r="I400" s="98">
        <f>I396+4*(I406-I396)/10</f>
        <v>2789.04</v>
      </c>
      <c r="J400" s="225">
        <f t="shared" si="29"/>
        <v>197</v>
      </c>
      <c r="K400" s="19"/>
    </row>
    <row r="401" spans="2:11" ht="12.75">
      <c r="B401" s="111">
        <f t="shared" si="28"/>
        <v>197.5</v>
      </c>
      <c r="C401" s="227">
        <f>C396+5*(C406-C396)/10</f>
        <v>14.768</v>
      </c>
      <c r="D401" s="93">
        <f>D396+5*(D406-D396)/10</f>
        <v>0.0011527</v>
      </c>
      <c r="E401" s="96">
        <f t="shared" si="30"/>
        <v>0.1328473</v>
      </c>
      <c r="F401" s="228">
        <f>F396+5*(F406-F396)/10</f>
        <v>0.134</v>
      </c>
      <c r="G401" s="98">
        <f>G396+5*(G406-G396)/10</f>
        <v>841.15</v>
      </c>
      <c r="H401" s="98">
        <f t="shared" si="31"/>
        <v>1948.2000000000003</v>
      </c>
      <c r="I401" s="98">
        <f>I396+5*(I406-I396)/10</f>
        <v>2789.3500000000004</v>
      </c>
      <c r="J401" s="225">
        <f t="shared" si="29"/>
        <v>197.5</v>
      </c>
      <c r="K401" s="19"/>
    </row>
    <row r="402" spans="2:11" ht="12.75">
      <c r="B402" s="111">
        <f t="shared" si="28"/>
        <v>198</v>
      </c>
      <c r="C402" s="227">
        <f>C396+6*(C406-C396)/10</f>
        <v>14.924199999999999</v>
      </c>
      <c r="D402" s="93">
        <f>D396+6*(D406-D396)/10</f>
        <v>0.00115346</v>
      </c>
      <c r="E402" s="96">
        <f t="shared" si="30"/>
        <v>0.13147854</v>
      </c>
      <c r="F402" s="228">
        <f>F396+6*(F406-F396)/10</f>
        <v>0.132632</v>
      </c>
      <c r="G402" s="98">
        <f>G396+6*(G406-G396)/10</f>
        <v>843.4</v>
      </c>
      <c r="H402" s="98">
        <f t="shared" si="31"/>
        <v>1946.2600000000002</v>
      </c>
      <c r="I402" s="98">
        <f>I396+6*(I406-I396)/10</f>
        <v>2789.6600000000003</v>
      </c>
      <c r="J402" s="225">
        <f t="shared" si="29"/>
        <v>198</v>
      </c>
      <c r="K402" s="19"/>
    </row>
    <row r="403" spans="2:11" ht="12.75">
      <c r="B403" s="111">
        <f t="shared" si="28"/>
        <v>198.5</v>
      </c>
      <c r="C403" s="227">
        <f>C396+7*(C406-C396)/10</f>
        <v>15.0804</v>
      </c>
      <c r="D403" s="93">
        <f>D396+7*(D406-D396)/10</f>
        <v>0.00115422</v>
      </c>
      <c r="E403" s="96">
        <f t="shared" si="30"/>
        <v>0.13010977999999998</v>
      </c>
      <c r="F403" s="228">
        <f>F396+7*(F406-F396)/10</f>
        <v>0.131264</v>
      </c>
      <c r="G403" s="98">
        <f>G396+7*(G406-G396)/10</f>
        <v>845.65</v>
      </c>
      <c r="H403" s="98">
        <f t="shared" si="31"/>
        <v>1944.3200000000002</v>
      </c>
      <c r="I403" s="98">
        <f>I396+7*(I406-I396)/10</f>
        <v>2789.9700000000003</v>
      </c>
      <c r="J403" s="225">
        <f t="shared" si="29"/>
        <v>198.5</v>
      </c>
      <c r="K403" s="19"/>
    </row>
    <row r="404" spans="2:11" ht="12.75">
      <c r="B404" s="111">
        <f t="shared" si="28"/>
        <v>199</v>
      </c>
      <c r="C404" s="227">
        <f>C396+8*(C406-C396)/10</f>
        <v>15.2366</v>
      </c>
      <c r="D404" s="93">
        <f>D396+8*(D406-D396)/10</f>
        <v>0.00115498</v>
      </c>
      <c r="E404" s="96">
        <f t="shared" si="30"/>
        <v>0.12874101999999998</v>
      </c>
      <c r="F404" s="228">
        <f>F396+8*(F406-F396)/10</f>
        <v>0.12989599999999998</v>
      </c>
      <c r="G404" s="98">
        <f>G396+8*(G406-G396)/10</f>
        <v>847.9</v>
      </c>
      <c r="H404" s="98">
        <f t="shared" si="31"/>
        <v>1942.38</v>
      </c>
      <c r="I404" s="98">
        <f>I396+8*(I406-I396)/10</f>
        <v>2790.28</v>
      </c>
      <c r="J404" s="225">
        <f t="shared" si="29"/>
        <v>199</v>
      </c>
      <c r="K404" s="19"/>
    </row>
    <row r="405" spans="2:11" ht="12.75">
      <c r="B405" s="111">
        <f t="shared" si="28"/>
        <v>199.5</v>
      </c>
      <c r="C405" s="227">
        <f>C396+9*(C406-C396)/10</f>
        <v>15.3928</v>
      </c>
      <c r="D405" s="93">
        <f>D396+9*(D406-D396)/10</f>
        <v>0.00115574</v>
      </c>
      <c r="E405" s="96">
        <f t="shared" si="30"/>
        <v>0.12737226000000001</v>
      </c>
      <c r="F405" s="228">
        <f>F396+9*(F406-F396)/10</f>
        <v>0.128528</v>
      </c>
      <c r="G405" s="98">
        <f>G396+9*(G406-G396)/10</f>
        <v>850.15</v>
      </c>
      <c r="H405" s="98">
        <f t="shared" si="31"/>
        <v>1940.44</v>
      </c>
      <c r="I405" s="98">
        <f>I396+9*(I406-I396)/10</f>
        <v>2790.59</v>
      </c>
      <c r="J405" s="225">
        <f t="shared" si="29"/>
        <v>199.5</v>
      </c>
      <c r="K405" s="19"/>
    </row>
    <row r="406" spans="2:11" ht="12.75">
      <c r="B406" s="111">
        <f t="shared" si="28"/>
        <v>200</v>
      </c>
      <c r="C406" s="227">
        <v>15.549</v>
      </c>
      <c r="D406" s="93">
        <v>0.0011565</v>
      </c>
      <c r="E406" s="180">
        <f>F406-D406</f>
        <v>0.1260035</v>
      </c>
      <c r="F406" s="180">
        <v>0.12716</v>
      </c>
      <c r="G406" s="180">
        <v>852.4</v>
      </c>
      <c r="H406" s="180">
        <f>I406-G406</f>
        <v>1938.5</v>
      </c>
      <c r="I406" s="180">
        <v>2790.9</v>
      </c>
      <c r="J406" s="225">
        <f t="shared" si="29"/>
        <v>200</v>
      </c>
      <c r="K406" s="19"/>
    </row>
    <row r="407" spans="2:11" ht="12.75">
      <c r="B407" s="111">
        <f t="shared" si="28"/>
        <v>200.5</v>
      </c>
      <c r="C407" s="227">
        <f>C406+1*(C416-C406)/10</f>
        <v>15.718399999999999</v>
      </c>
      <c r="D407" s="93">
        <f>D406+1*(D416-D406)/10</f>
        <v>0.00115729</v>
      </c>
      <c r="E407" s="96">
        <f aca="true" t="shared" si="32" ref="E407:E415">F407-D407</f>
        <v>0.12478971</v>
      </c>
      <c r="F407" s="228">
        <f>F406+1*(F416-F406)/10</f>
        <v>0.125947</v>
      </c>
      <c r="G407" s="98">
        <f>G406+1*(G416-G406)/10</f>
        <v>854.66</v>
      </c>
      <c r="H407" s="98">
        <f aca="true" t="shared" si="33" ref="H407:H415">I407-G407</f>
        <v>1936.5300000000002</v>
      </c>
      <c r="I407" s="98">
        <f>I406+1*(I416-I406)/10</f>
        <v>2791.19</v>
      </c>
      <c r="J407" s="225">
        <f t="shared" si="29"/>
        <v>200.5</v>
      </c>
      <c r="K407" s="19"/>
    </row>
    <row r="408" spans="2:11" ht="12.75">
      <c r="B408" s="111">
        <f t="shared" si="28"/>
        <v>201</v>
      </c>
      <c r="C408" s="227">
        <f>C406+2*(C416-C406)/10</f>
        <v>15.887799999999999</v>
      </c>
      <c r="D408" s="93">
        <f>D406+2*(D416-D406)/10</f>
        <v>0.00115808</v>
      </c>
      <c r="E408" s="96">
        <f t="shared" si="32"/>
        <v>0.12357591999999999</v>
      </c>
      <c r="F408" s="228">
        <f>F406+2*(F416-F406)/10</f>
        <v>0.124734</v>
      </c>
      <c r="G408" s="98">
        <f>G406+2*(G416-G406)/10</f>
        <v>856.92</v>
      </c>
      <c r="H408" s="98">
        <f t="shared" si="33"/>
        <v>1934.56</v>
      </c>
      <c r="I408" s="98">
        <f>I406+2*(I416-I406)/10</f>
        <v>2791.48</v>
      </c>
      <c r="J408" s="225">
        <f t="shared" si="29"/>
        <v>201</v>
      </c>
      <c r="K408" s="19"/>
    </row>
    <row r="409" spans="2:11" ht="12.75">
      <c r="B409" s="111">
        <f t="shared" si="28"/>
        <v>201.5</v>
      </c>
      <c r="C409" s="227">
        <f>C406+3*(C416-C406)/10</f>
        <v>16.057199999999998</v>
      </c>
      <c r="D409" s="93">
        <f>D406+3*(D416-D406)/10</f>
        <v>0.00115887</v>
      </c>
      <c r="E409" s="96">
        <f t="shared" si="32"/>
        <v>0.12236212999999999</v>
      </c>
      <c r="F409" s="228">
        <f>F406+3*(F416-F406)/10</f>
        <v>0.12352099999999999</v>
      </c>
      <c r="G409" s="98">
        <f>G406+3*(G416-G406)/10</f>
        <v>859.18</v>
      </c>
      <c r="H409" s="98">
        <f t="shared" si="33"/>
        <v>1932.5900000000001</v>
      </c>
      <c r="I409" s="98">
        <f>I406+3*(I416-I406)/10</f>
        <v>2791.77</v>
      </c>
      <c r="J409" s="225">
        <f t="shared" si="29"/>
        <v>201.5</v>
      </c>
      <c r="K409" s="19"/>
    </row>
    <row r="410" spans="2:11" ht="12.75">
      <c r="B410" s="111">
        <f t="shared" si="28"/>
        <v>202</v>
      </c>
      <c r="C410" s="227">
        <f>C406+4*(C416-C406)/10</f>
        <v>16.226599999999998</v>
      </c>
      <c r="D410" s="93">
        <f>D406+4*(D416-D406)/10</f>
        <v>0.0011596599999999999</v>
      </c>
      <c r="E410" s="96">
        <f t="shared" si="32"/>
        <v>0.12114834</v>
      </c>
      <c r="F410" s="228">
        <f>F406+4*(F416-F406)/10</f>
        <v>0.122308</v>
      </c>
      <c r="G410" s="98">
        <f>G406+4*(G416-G406)/10</f>
        <v>861.4399999999999</v>
      </c>
      <c r="H410" s="98">
        <f t="shared" si="33"/>
        <v>1930.62</v>
      </c>
      <c r="I410" s="98">
        <f>I406+4*(I416-I406)/10</f>
        <v>2792.06</v>
      </c>
      <c r="J410" s="225">
        <f t="shared" si="29"/>
        <v>202</v>
      </c>
      <c r="K410" s="19"/>
    </row>
    <row r="411" spans="2:11" ht="12.75">
      <c r="B411" s="111">
        <f t="shared" si="28"/>
        <v>202.5</v>
      </c>
      <c r="C411" s="227">
        <f>C406+5*(C416-C406)/10</f>
        <v>16.396</v>
      </c>
      <c r="D411" s="93">
        <f>D406+5*(D416-D406)/10</f>
        <v>0.00116045</v>
      </c>
      <c r="E411" s="96">
        <f t="shared" si="32"/>
        <v>0.11993455</v>
      </c>
      <c r="F411" s="228">
        <f>F406+5*(F416-F406)/10</f>
        <v>0.121095</v>
      </c>
      <c r="G411" s="98">
        <f>G406+5*(G416-G406)/10</f>
        <v>863.7</v>
      </c>
      <c r="H411" s="98">
        <f t="shared" si="33"/>
        <v>1928.6500000000003</v>
      </c>
      <c r="I411" s="98">
        <f>I406+5*(I416-I406)/10</f>
        <v>2792.3500000000004</v>
      </c>
      <c r="J411" s="225">
        <f t="shared" si="29"/>
        <v>202.5</v>
      </c>
      <c r="K411" s="19"/>
    </row>
    <row r="412" spans="2:11" ht="12.75">
      <c r="B412" s="111">
        <f t="shared" si="28"/>
        <v>203</v>
      </c>
      <c r="C412" s="227">
        <f>C406+6*(C416-C406)/10</f>
        <v>16.5654</v>
      </c>
      <c r="D412" s="93">
        <f>D406+6*(D416-D406)/10</f>
        <v>0.00116124</v>
      </c>
      <c r="E412" s="96">
        <f t="shared" si="32"/>
        <v>0.11872076</v>
      </c>
      <c r="F412" s="228">
        <f>F406+6*(F416-F406)/10</f>
        <v>0.11988199999999999</v>
      </c>
      <c r="G412" s="98">
        <f>G406+6*(G416-G406)/10</f>
        <v>865.96</v>
      </c>
      <c r="H412" s="98">
        <f t="shared" si="33"/>
        <v>1926.6800000000003</v>
      </c>
      <c r="I412" s="98">
        <f>I406+6*(I416-I406)/10</f>
        <v>2792.6400000000003</v>
      </c>
      <c r="J412" s="225">
        <f t="shared" si="29"/>
        <v>203</v>
      </c>
      <c r="K412" s="19"/>
    </row>
    <row r="413" spans="2:11" ht="12.75">
      <c r="B413" s="111">
        <f t="shared" si="28"/>
        <v>203.5</v>
      </c>
      <c r="C413" s="227">
        <f>C406+7*(C416-C406)/10</f>
        <v>16.7348</v>
      </c>
      <c r="D413" s="93">
        <f>D406+7*(D416-D406)/10</f>
        <v>0.0011620299999999999</v>
      </c>
      <c r="E413" s="96">
        <f t="shared" si="32"/>
        <v>0.11750697</v>
      </c>
      <c r="F413" s="228">
        <f>F406+7*(F416-F406)/10</f>
        <v>0.118669</v>
      </c>
      <c r="G413" s="98">
        <f>G406+7*(G416-G406)/10</f>
        <v>868.22</v>
      </c>
      <c r="H413" s="98">
        <f t="shared" si="33"/>
        <v>1924.7100000000003</v>
      </c>
      <c r="I413" s="98">
        <f>I406+7*(I416-I406)/10</f>
        <v>2792.9300000000003</v>
      </c>
      <c r="J413" s="225">
        <f t="shared" si="29"/>
        <v>203.5</v>
      </c>
      <c r="K413" s="19"/>
    </row>
    <row r="414" spans="2:11" ht="12.75">
      <c r="B414" s="111">
        <f t="shared" si="28"/>
        <v>204</v>
      </c>
      <c r="C414" s="227">
        <f>C406+8*(C416-C406)/10</f>
        <v>16.9042</v>
      </c>
      <c r="D414" s="93">
        <f>D406+8*(D416-D406)/10</f>
        <v>0.00116282</v>
      </c>
      <c r="E414" s="96">
        <f t="shared" si="32"/>
        <v>0.11629318</v>
      </c>
      <c r="F414" s="228">
        <f>F406+8*(F416-F406)/10</f>
        <v>0.11745599999999999</v>
      </c>
      <c r="G414" s="98">
        <f>G406+8*(G416-G406)/10</f>
        <v>870.48</v>
      </c>
      <c r="H414" s="98">
        <f t="shared" si="33"/>
        <v>1922.7400000000002</v>
      </c>
      <c r="I414" s="98">
        <f>I406+8*(I416-I406)/10</f>
        <v>2793.2200000000003</v>
      </c>
      <c r="J414" s="225">
        <f t="shared" si="29"/>
        <v>204</v>
      </c>
      <c r="K414" s="19"/>
    </row>
    <row r="415" spans="2:11" ht="12.75">
      <c r="B415" s="111">
        <f t="shared" si="28"/>
        <v>204.5</v>
      </c>
      <c r="C415" s="227">
        <f>C406+9*(C416-C406)/10</f>
        <v>17.0736</v>
      </c>
      <c r="D415" s="93">
        <f>D406+9*(D416-D406)/10</f>
        <v>0.0011636099999999998</v>
      </c>
      <c r="E415" s="96">
        <f t="shared" si="32"/>
        <v>0.11507939</v>
      </c>
      <c r="F415" s="228">
        <f>F406+9*(F416-F406)/10</f>
        <v>0.116243</v>
      </c>
      <c r="G415" s="98">
        <f>G406+9*(G416-G406)/10</f>
        <v>872.74</v>
      </c>
      <c r="H415" s="98">
        <f t="shared" si="33"/>
        <v>1920.7700000000002</v>
      </c>
      <c r="I415" s="98">
        <f>I406+9*(I416-I406)/10</f>
        <v>2793.51</v>
      </c>
      <c r="J415" s="225">
        <f t="shared" si="29"/>
        <v>204.5</v>
      </c>
      <c r="K415" s="19"/>
    </row>
    <row r="416" spans="2:11" ht="12.75">
      <c r="B416" s="111">
        <f t="shared" si="28"/>
        <v>205</v>
      </c>
      <c r="C416" s="227">
        <v>17.243</v>
      </c>
      <c r="D416" s="93">
        <v>0.0011644</v>
      </c>
      <c r="E416" s="180">
        <f>F416-D416</f>
        <v>0.1138656</v>
      </c>
      <c r="F416" s="180">
        <v>0.11503</v>
      </c>
      <c r="G416" s="180">
        <v>875</v>
      </c>
      <c r="H416" s="180">
        <f>I416-G416</f>
        <v>1918.8000000000002</v>
      </c>
      <c r="I416" s="180">
        <v>2793.8</v>
      </c>
      <c r="J416" s="225">
        <f t="shared" si="29"/>
        <v>205</v>
      </c>
      <c r="K416" s="19"/>
    </row>
    <row r="417" spans="2:11" ht="12.75">
      <c r="B417" s="111">
        <f t="shared" si="28"/>
        <v>205.5</v>
      </c>
      <c r="C417" s="227">
        <f>C416+1*(C426-C416)/10</f>
        <v>17.426399999999997</v>
      </c>
      <c r="D417" s="93">
        <f>D416+1*(D426-D416)/10</f>
        <v>0.0011652199999999998</v>
      </c>
      <c r="E417" s="96">
        <f aca="true" t="shared" si="34" ref="E417:E425">F417-D417</f>
        <v>0.11278578</v>
      </c>
      <c r="F417" s="228">
        <f>F416+1*(F426-F416)/10</f>
        <v>0.113951</v>
      </c>
      <c r="G417" s="98">
        <f>G416+1*(G426-G416)/10</f>
        <v>877.27</v>
      </c>
      <c r="H417" s="98">
        <f aca="true" t="shared" si="35" ref="H417:H425">I417-G417</f>
        <v>1916.77</v>
      </c>
      <c r="I417" s="98">
        <f>I416+1*(I426-I416)/10</f>
        <v>2794.04</v>
      </c>
      <c r="J417" s="225">
        <f t="shared" si="29"/>
        <v>205.5</v>
      </c>
      <c r="K417" s="19"/>
    </row>
    <row r="418" spans="2:11" ht="12.75">
      <c r="B418" s="111">
        <f t="shared" si="28"/>
        <v>206</v>
      </c>
      <c r="C418" s="227">
        <f>C416+2*(C426-C416)/10</f>
        <v>17.6098</v>
      </c>
      <c r="D418" s="93">
        <f>D416+2*(D426-D416)/10</f>
        <v>0.00116604</v>
      </c>
      <c r="E418" s="96">
        <f t="shared" si="34"/>
        <v>0.11170596</v>
      </c>
      <c r="F418" s="228">
        <f>F416+2*(F426-F416)/10</f>
        <v>0.112872</v>
      </c>
      <c r="G418" s="98">
        <f>G416+2*(G426-G416)/10</f>
        <v>879.54</v>
      </c>
      <c r="H418" s="98">
        <f t="shared" si="35"/>
        <v>1914.7400000000002</v>
      </c>
      <c r="I418" s="98">
        <f>I416+2*(I426-I416)/10</f>
        <v>2794.28</v>
      </c>
      <c r="J418" s="225">
        <f t="shared" si="29"/>
        <v>206</v>
      </c>
      <c r="K418" s="19"/>
    </row>
    <row r="419" spans="2:11" ht="12.75">
      <c r="B419" s="111">
        <f t="shared" si="28"/>
        <v>206.5</v>
      </c>
      <c r="C419" s="227">
        <f>C416+3*(C426-C416)/10</f>
        <v>17.7932</v>
      </c>
      <c r="D419" s="93">
        <f>D416+3*(D426-D416)/10</f>
        <v>0.00116686</v>
      </c>
      <c r="E419" s="96">
        <f t="shared" si="34"/>
        <v>0.11062613999999998</v>
      </c>
      <c r="F419" s="228">
        <f>F416+3*(F426-F416)/10</f>
        <v>0.11179299999999999</v>
      </c>
      <c r="G419" s="98">
        <f>G416+3*(G426-G416)/10</f>
        <v>881.8100000000001</v>
      </c>
      <c r="H419" s="98">
        <f t="shared" si="35"/>
        <v>1912.71</v>
      </c>
      <c r="I419" s="98">
        <f>I416+3*(I426-I416)/10</f>
        <v>2794.52</v>
      </c>
      <c r="J419" s="225">
        <f t="shared" si="29"/>
        <v>206.5</v>
      </c>
      <c r="K419" s="19"/>
    </row>
    <row r="420" spans="2:11" ht="12.75">
      <c r="B420" s="111">
        <f t="shared" si="28"/>
        <v>207</v>
      </c>
      <c r="C420" s="227">
        <f>C416+4*(C426-C416)/10</f>
        <v>17.9766</v>
      </c>
      <c r="D420" s="93">
        <f>D416+4*(D426-D416)/10</f>
        <v>0.00116768</v>
      </c>
      <c r="E420" s="96">
        <f t="shared" si="34"/>
        <v>0.10954631999999999</v>
      </c>
      <c r="F420" s="228">
        <f>F416+4*(F426-F416)/10</f>
        <v>0.11071399999999999</v>
      </c>
      <c r="G420" s="98">
        <f>G416+4*(G426-G416)/10</f>
        <v>884.08</v>
      </c>
      <c r="H420" s="98">
        <f t="shared" si="35"/>
        <v>1910.6800000000003</v>
      </c>
      <c r="I420" s="98">
        <f>I416+4*(I426-I416)/10</f>
        <v>2794.76</v>
      </c>
      <c r="J420" s="225">
        <f t="shared" si="29"/>
        <v>207</v>
      </c>
      <c r="K420" s="19"/>
    </row>
    <row r="421" spans="2:11" ht="12.75">
      <c r="B421" s="111">
        <f t="shared" si="28"/>
        <v>207.5</v>
      </c>
      <c r="C421" s="227">
        <f>C416+5*(C426-C416)/10</f>
        <v>18.16</v>
      </c>
      <c r="D421" s="93">
        <f>D416+5*(D426-D416)/10</f>
        <v>0.0011684999999999998</v>
      </c>
      <c r="E421" s="96">
        <f t="shared" si="34"/>
        <v>0.1084665</v>
      </c>
      <c r="F421" s="228">
        <f>F416+5*(F426-F416)/10</f>
        <v>0.109635</v>
      </c>
      <c r="G421" s="98">
        <f>G416+5*(G426-G416)/10</f>
        <v>886.35</v>
      </c>
      <c r="H421" s="98">
        <f t="shared" si="35"/>
        <v>1908.65</v>
      </c>
      <c r="I421" s="98">
        <f>I416+5*(I426-I416)/10</f>
        <v>2795</v>
      </c>
      <c r="J421" s="225">
        <f t="shared" si="29"/>
        <v>207.5</v>
      </c>
      <c r="K421" s="19"/>
    </row>
    <row r="422" spans="2:11" ht="12.75">
      <c r="B422" s="111">
        <f t="shared" si="28"/>
        <v>208</v>
      </c>
      <c r="C422" s="227">
        <f>C416+6*(C426-C416)/10</f>
        <v>18.3434</v>
      </c>
      <c r="D422" s="93">
        <f>D416+6*(D426-D416)/10</f>
        <v>0.00116932</v>
      </c>
      <c r="E422" s="96">
        <f t="shared" si="34"/>
        <v>0.10738668</v>
      </c>
      <c r="F422" s="228">
        <f>F416+6*(F426-F416)/10</f>
        <v>0.108556</v>
      </c>
      <c r="G422" s="98">
        <f>G416+6*(G426-G416)/10</f>
        <v>888.62</v>
      </c>
      <c r="H422" s="98">
        <f t="shared" si="35"/>
        <v>1906.62</v>
      </c>
      <c r="I422" s="98">
        <f>I416+6*(I426-I416)/10</f>
        <v>2795.24</v>
      </c>
      <c r="J422" s="225">
        <f t="shared" si="29"/>
        <v>208</v>
      </c>
      <c r="K422" s="19"/>
    </row>
    <row r="423" spans="2:11" ht="12.75">
      <c r="B423" s="111">
        <f t="shared" si="28"/>
        <v>208.5</v>
      </c>
      <c r="C423" s="227">
        <f>C416+7*(C426-C416)/10</f>
        <v>18.5268</v>
      </c>
      <c r="D423" s="93">
        <f>D416+7*(D426-D416)/10</f>
        <v>0.00117014</v>
      </c>
      <c r="E423" s="96">
        <f t="shared" si="34"/>
        <v>0.10630686</v>
      </c>
      <c r="F423" s="228">
        <f>F416+7*(F426-F416)/10</f>
        <v>0.107477</v>
      </c>
      <c r="G423" s="98">
        <f>G416+7*(G426-G416)/10</f>
        <v>890.89</v>
      </c>
      <c r="H423" s="98">
        <f t="shared" si="35"/>
        <v>1904.5900000000001</v>
      </c>
      <c r="I423" s="98">
        <f>I416+7*(I426-I416)/10</f>
        <v>2795.48</v>
      </c>
      <c r="J423" s="225">
        <f t="shared" si="29"/>
        <v>208.5</v>
      </c>
      <c r="K423" s="19"/>
    </row>
    <row r="424" spans="2:11" ht="12.75">
      <c r="B424" s="111">
        <f t="shared" si="28"/>
        <v>209</v>
      </c>
      <c r="C424" s="227">
        <f>C416+8*(C426-C416)/10</f>
        <v>18.7102</v>
      </c>
      <c r="D424" s="93">
        <f>D416+8*(D426-D416)/10</f>
        <v>0.00117096</v>
      </c>
      <c r="E424" s="96">
        <f t="shared" si="34"/>
        <v>0.10522704</v>
      </c>
      <c r="F424" s="228">
        <f>F416+8*(F426-F416)/10</f>
        <v>0.10639799999999999</v>
      </c>
      <c r="G424" s="98">
        <f>G416+8*(G426-G416)/10</f>
        <v>893.1600000000001</v>
      </c>
      <c r="H424" s="98">
        <f t="shared" si="35"/>
        <v>1902.5599999999997</v>
      </c>
      <c r="I424" s="98">
        <f>I416+8*(I426-I416)/10</f>
        <v>2795.72</v>
      </c>
      <c r="J424" s="225">
        <f t="shared" si="29"/>
        <v>209</v>
      </c>
      <c r="K424" s="19"/>
    </row>
    <row r="425" spans="2:11" ht="12.75">
      <c r="B425" s="111">
        <f t="shared" si="28"/>
        <v>209.5</v>
      </c>
      <c r="C425" s="227">
        <f>C416+9*(C426-C416)/10</f>
        <v>18.893600000000003</v>
      </c>
      <c r="D425" s="93">
        <f>D416+9*(D426-D416)/10</f>
        <v>0.0011717799999999999</v>
      </c>
      <c r="E425" s="96">
        <f t="shared" si="34"/>
        <v>0.10414722</v>
      </c>
      <c r="F425" s="228">
        <f>F416+9*(F426-F416)/10</f>
        <v>0.105319</v>
      </c>
      <c r="G425" s="98">
        <f>G416+9*(G426-G416)/10</f>
        <v>895.4300000000001</v>
      </c>
      <c r="H425" s="98">
        <f t="shared" si="35"/>
        <v>1900.53</v>
      </c>
      <c r="I425" s="98">
        <f>I416+9*(I426-I416)/10</f>
        <v>2795.96</v>
      </c>
      <c r="J425" s="225">
        <f t="shared" si="29"/>
        <v>209.5</v>
      </c>
      <c r="K425" s="19"/>
    </row>
    <row r="426" spans="2:11" ht="12.75">
      <c r="B426" s="111">
        <f t="shared" si="28"/>
        <v>210</v>
      </c>
      <c r="C426" s="227">
        <v>19.077</v>
      </c>
      <c r="D426" s="93">
        <v>0.0011726</v>
      </c>
      <c r="E426" s="180">
        <f>F426-D426</f>
        <v>0.1030674</v>
      </c>
      <c r="F426" s="180">
        <v>0.10424</v>
      </c>
      <c r="G426" s="180">
        <v>897.7</v>
      </c>
      <c r="H426" s="180">
        <f>I426-G426</f>
        <v>1898.4999999999998</v>
      </c>
      <c r="I426" s="180">
        <v>2796.2</v>
      </c>
      <c r="J426" s="225">
        <f t="shared" si="29"/>
        <v>210</v>
      </c>
      <c r="K426" s="19"/>
    </row>
    <row r="427" spans="2:11" ht="12.75">
      <c r="B427" s="111">
        <f t="shared" si="28"/>
        <v>210.5</v>
      </c>
      <c r="C427" s="227">
        <f>C426+1*(C436-C426)/10</f>
        <v>19.2753</v>
      </c>
      <c r="D427" s="93">
        <f>D426+1*(D436-D426)/10</f>
        <v>0.00117345</v>
      </c>
      <c r="E427" s="96">
        <f aca="true" t="shared" si="36" ref="E427:E435">F427-D427</f>
        <v>0.10210504999999999</v>
      </c>
      <c r="F427" s="228">
        <f>F426+1*(F436-F426)/10</f>
        <v>0.1032785</v>
      </c>
      <c r="G427" s="98">
        <f>G426+1*(G436-G426)/10</f>
        <v>899.99</v>
      </c>
      <c r="H427" s="98">
        <f aca="true" t="shared" si="37" ref="H427:H435">I427-G427</f>
        <v>1896.4199999999998</v>
      </c>
      <c r="I427" s="98">
        <f>I426+1*(I436-I426)/10</f>
        <v>2796.41</v>
      </c>
      <c r="J427" s="225">
        <f t="shared" si="29"/>
        <v>210.5</v>
      </c>
      <c r="K427" s="19"/>
    </row>
    <row r="428" spans="2:11" ht="12.75">
      <c r="B428" s="111">
        <f t="shared" si="28"/>
        <v>211</v>
      </c>
      <c r="C428" s="227">
        <f>C426+2*(C436-C426)/10</f>
        <v>19.4736</v>
      </c>
      <c r="D428" s="93">
        <f>D426+2*(D436-D426)/10</f>
        <v>0.0011743</v>
      </c>
      <c r="E428" s="96">
        <f t="shared" si="36"/>
        <v>0.1011427</v>
      </c>
      <c r="F428" s="228">
        <f>F426+2*(F436-F426)/10</f>
        <v>0.102317</v>
      </c>
      <c r="G428" s="98">
        <f>G426+2*(G436-G426)/10</f>
        <v>902.2800000000001</v>
      </c>
      <c r="H428" s="98">
        <f t="shared" si="37"/>
        <v>1894.3399999999997</v>
      </c>
      <c r="I428" s="98">
        <f>I426+2*(I436-I426)/10</f>
        <v>2796.62</v>
      </c>
      <c r="J428" s="225">
        <f t="shared" si="29"/>
        <v>211</v>
      </c>
      <c r="K428" s="19"/>
    </row>
    <row r="429" spans="2:11" ht="12.75">
      <c r="B429" s="111">
        <f t="shared" si="28"/>
        <v>211.5</v>
      </c>
      <c r="C429" s="227">
        <f>C426+3*(C436-C426)/10</f>
        <v>19.6719</v>
      </c>
      <c r="D429" s="93">
        <f>D426+3*(D436-D426)/10</f>
        <v>0.00117515</v>
      </c>
      <c r="E429" s="96">
        <f t="shared" si="36"/>
        <v>0.10018035</v>
      </c>
      <c r="F429" s="228">
        <f>F426+3*(F436-F426)/10</f>
        <v>0.1013555</v>
      </c>
      <c r="G429" s="98">
        <f>G426+3*(G436-G426)/10</f>
        <v>904.57</v>
      </c>
      <c r="H429" s="98">
        <f t="shared" si="37"/>
        <v>1892.2599999999998</v>
      </c>
      <c r="I429" s="98">
        <f>I426+3*(I436-I426)/10</f>
        <v>2796.83</v>
      </c>
      <c r="J429" s="225">
        <f t="shared" si="29"/>
        <v>211.5</v>
      </c>
      <c r="K429" s="19"/>
    </row>
    <row r="430" spans="2:11" ht="12.75">
      <c r="B430" s="111">
        <f t="shared" si="28"/>
        <v>212</v>
      </c>
      <c r="C430" s="227">
        <f>C426+4*(C436-C426)/10</f>
        <v>19.8702</v>
      </c>
      <c r="D430" s="93">
        <f>D426+4*(D436-D426)/10</f>
        <v>0.001176</v>
      </c>
      <c r="E430" s="96">
        <f t="shared" si="36"/>
        <v>0.099218</v>
      </c>
      <c r="F430" s="228">
        <f>F426+4*(F436-F426)/10</f>
        <v>0.100394</v>
      </c>
      <c r="G430" s="98">
        <f>G426+4*(G436-G426)/10</f>
        <v>906.86</v>
      </c>
      <c r="H430" s="98">
        <f t="shared" si="37"/>
        <v>1890.1799999999998</v>
      </c>
      <c r="I430" s="98">
        <f>I426+4*(I436-I426)/10</f>
        <v>2797.04</v>
      </c>
      <c r="J430" s="225">
        <f t="shared" si="29"/>
        <v>212</v>
      </c>
      <c r="K430" s="19"/>
    </row>
    <row r="431" spans="2:11" ht="12.75">
      <c r="B431" s="111">
        <f t="shared" si="28"/>
        <v>212.5</v>
      </c>
      <c r="C431" s="227">
        <f>C426+5*(C436-C426)/10</f>
        <v>20.0685</v>
      </c>
      <c r="D431" s="93">
        <f>D426+5*(D436-D426)/10</f>
        <v>0.0011768500000000001</v>
      </c>
      <c r="E431" s="96">
        <f t="shared" si="36"/>
        <v>0.09825565</v>
      </c>
      <c r="F431" s="228">
        <f>F426+5*(F436-F426)/10</f>
        <v>0.09943250000000001</v>
      </c>
      <c r="G431" s="98">
        <f>G426+5*(G436-G426)/10</f>
        <v>909.1500000000001</v>
      </c>
      <c r="H431" s="98">
        <f t="shared" si="37"/>
        <v>1888.1</v>
      </c>
      <c r="I431" s="98">
        <f>I426+5*(I436-I426)/10</f>
        <v>2797.25</v>
      </c>
      <c r="J431" s="225">
        <f t="shared" si="29"/>
        <v>212.5</v>
      </c>
      <c r="K431" s="19"/>
    </row>
    <row r="432" spans="2:11" ht="12.75">
      <c r="B432" s="111">
        <f t="shared" si="28"/>
        <v>213</v>
      </c>
      <c r="C432" s="227">
        <f>C426+6*(C436-C426)/10</f>
        <v>20.2668</v>
      </c>
      <c r="D432" s="93">
        <f>D426+6*(D436-D426)/10</f>
        <v>0.0011777</v>
      </c>
      <c r="E432" s="96">
        <f t="shared" si="36"/>
        <v>0.0972933</v>
      </c>
      <c r="F432" s="228">
        <f>F426+6*(F436-F426)/10</f>
        <v>0.098471</v>
      </c>
      <c r="G432" s="98">
        <f>G426+6*(G436-G426)/10</f>
        <v>911.44</v>
      </c>
      <c r="H432" s="98">
        <f t="shared" si="37"/>
        <v>1886.02</v>
      </c>
      <c r="I432" s="98">
        <f>I426+6*(I436-I426)/10</f>
        <v>2797.46</v>
      </c>
      <c r="J432" s="225">
        <f t="shared" si="29"/>
        <v>213</v>
      </c>
      <c r="K432" s="19"/>
    </row>
    <row r="433" spans="2:11" ht="12.75">
      <c r="B433" s="111">
        <f t="shared" si="28"/>
        <v>213.5</v>
      </c>
      <c r="C433" s="227">
        <f>C426+7*(C436-C426)/10</f>
        <v>20.4651</v>
      </c>
      <c r="D433" s="93">
        <f>D426+7*(D436-D426)/10</f>
        <v>0.00117855</v>
      </c>
      <c r="E433" s="96">
        <f t="shared" si="36"/>
        <v>0.09633095</v>
      </c>
      <c r="F433" s="228">
        <f>F426+7*(F436-F426)/10</f>
        <v>0.0975095</v>
      </c>
      <c r="G433" s="98">
        <f>G426+7*(G436-G426)/10</f>
        <v>913.73</v>
      </c>
      <c r="H433" s="98">
        <f t="shared" si="37"/>
        <v>1883.94</v>
      </c>
      <c r="I433" s="98">
        <f>I426+7*(I436-I426)/10</f>
        <v>2797.67</v>
      </c>
      <c r="J433" s="225">
        <f t="shared" si="29"/>
        <v>213.5</v>
      </c>
      <c r="K433" s="19"/>
    </row>
    <row r="434" spans="2:11" ht="12.75">
      <c r="B434" s="111">
        <f t="shared" si="28"/>
        <v>214</v>
      </c>
      <c r="C434" s="227">
        <f>C426+8*(C436-C426)/10</f>
        <v>20.6634</v>
      </c>
      <c r="D434" s="93">
        <f>D426+8*(D436-D426)/10</f>
        <v>0.0011794</v>
      </c>
      <c r="E434" s="96">
        <f t="shared" si="36"/>
        <v>0.0953686</v>
      </c>
      <c r="F434" s="228">
        <f>F426+8*(F436-F426)/10</f>
        <v>0.096548</v>
      </c>
      <c r="G434" s="98">
        <f>G426+8*(G436-G426)/10</f>
        <v>916.02</v>
      </c>
      <c r="H434" s="98">
        <f t="shared" si="37"/>
        <v>1881.8600000000001</v>
      </c>
      <c r="I434" s="98">
        <f>I426+8*(I436-I426)/10</f>
        <v>2797.88</v>
      </c>
      <c r="J434" s="225">
        <f t="shared" si="29"/>
        <v>214</v>
      </c>
      <c r="K434" s="19"/>
    </row>
    <row r="435" spans="2:11" ht="12.75">
      <c r="B435" s="111">
        <f t="shared" si="28"/>
        <v>214.5</v>
      </c>
      <c r="C435" s="227">
        <f>C426+9*(C436-C426)/10</f>
        <v>20.8617</v>
      </c>
      <c r="D435" s="93">
        <f>D426+9*(D436-D426)/10</f>
        <v>0.00118025</v>
      </c>
      <c r="E435" s="96">
        <f t="shared" si="36"/>
        <v>0.09440625000000001</v>
      </c>
      <c r="F435" s="228">
        <f>F426+9*(F436-F426)/10</f>
        <v>0.0955865</v>
      </c>
      <c r="G435" s="98">
        <f>G426+9*(G436-G426)/10</f>
        <v>918.3100000000001</v>
      </c>
      <c r="H435" s="98">
        <f t="shared" si="37"/>
        <v>1879.7800000000002</v>
      </c>
      <c r="I435" s="98">
        <f>I426+9*(I436-I426)/10</f>
        <v>2798.09</v>
      </c>
      <c r="J435" s="225">
        <f t="shared" si="29"/>
        <v>214.5</v>
      </c>
      <c r="K435" s="19"/>
    </row>
    <row r="436" spans="2:11" ht="12.75">
      <c r="B436" s="111">
        <f t="shared" si="28"/>
        <v>215</v>
      </c>
      <c r="C436" s="227">
        <v>21.06</v>
      </c>
      <c r="D436" s="93">
        <v>0.0011811</v>
      </c>
      <c r="E436" s="180">
        <f>F436-D436</f>
        <v>0.0934439</v>
      </c>
      <c r="F436" s="180">
        <v>0.094625</v>
      </c>
      <c r="G436" s="180">
        <v>920.6</v>
      </c>
      <c r="H436" s="180">
        <f>I436-G436</f>
        <v>1877.7000000000003</v>
      </c>
      <c r="I436" s="180">
        <v>2798.3</v>
      </c>
      <c r="J436" s="225">
        <f t="shared" si="29"/>
        <v>215</v>
      </c>
      <c r="K436" s="19"/>
    </row>
    <row r="437" spans="2:11" ht="12.75">
      <c r="B437" s="111">
        <f t="shared" si="28"/>
        <v>215.5</v>
      </c>
      <c r="C437" s="227">
        <f>C436+1*(C446-C436)/10</f>
        <v>21.273799999999998</v>
      </c>
      <c r="D437" s="93">
        <f>D436+1*(D446-D436)/10</f>
        <v>0.00118199</v>
      </c>
      <c r="E437" s="96">
        <f aca="true" t="shared" si="38" ref="E437:E445">F437-D437</f>
        <v>0.09258431</v>
      </c>
      <c r="F437" s="228">
        <f>F436+1*(F446-F436)/10</f>
        <v>0.0937663</v>
      </c>
      <c r="G437" s="98">
        <f>G436+1*(G446-G436)/10</f>
        <v>922.9100000000001</v>
      </c>
      <c r="H437" s="98">
        <f aca="true" t="shared" si="39" ref="H437:H445">I437-G437</f>
        <v>1875.55</v>
      </c>
      <c r="I437" s="98">
        <f>I436+1*(I446-I436)/10</f>
        <v>2798.46</v>
      </c>
      <c r="J437" s="225">
        <f t="shared" si="29"/>
        <v>215.5</v>
      </c>
      <c r="K437" s="19"/>
    </row>
    <row r="438" spans="2:11" ht="12.75">
      <c r="B438" s="111">
        <f t="shared" si="28"/>
        <v>216</v>
      </c>
      <c r="C438" s="227">
        <f>C436+2*(C446-C436)/10</f>
        <v>21.4876</v>
      </c>
      <c r="D438" s="93">
        <f>D436+2*(D446-D436)/10</f>
        <v>0.00118288</v>
      </c>
      <c r="E438" s="96">
        <f t="shared" si="38"/>
        <v>0.09172472000000001</v>
      </c>
      <c r="F438" s="228">
        <f>F436+2*(F446-F436)/10</f>
        <v>0.0929076</v>
      </c>
      <c r="G438" s="98">
        <f>G436+2*(G446-G436)/10</f>
        <v>925.22</v>
      </c>
      <c r="H438" s="98">
        <f t="shared" si="39"/>
        <v>1873.4000000000003</v>
      </c>
      <c r="I438" s="98">
        <f>I436+2*(I446-I436)/10</f>
        <v>2798.6200000000003</v>
      </c>
      <c r="J438" s="225">
        <f t="shared" si="29"/>
        <v>216</v>
      </c>
      <c r="K438" s="19"/>
    </row>
    <row r="439" spans="2:11" ht="12.75">
      <c r="B439" s="111">
        <f t="shared" si="28"/>
        <v>216.5</v>
      </c>
      <c r="C439" s="227">
        <f>C436+3*(C446-C436)/10</f>
        <v>21.7014</v>
      </c>
      <c r="D439" s="93">
        <f>D436+3*(D446-D436)/10</f>
        <v>0.00118377</v>
      </c>
      <c r="E439" s="96">
        <f t="shared" si="38"/>
        <v>0.09086513</v>
      </c>
      <c r="F439" s="228">
        <f>F436+3*(F446-F436)/10</f>
        <v>0.0920489</v>
      </c>
      <c r="G439" s="98">
        <f>G436+3*(G446-G436)/10</f>
        <v>927.53</v>
      </c>
      <c r="H439" s="98">
        <f t="shared" si="39"/>
        <v>1871.2500000000002</v>
      </c>
      <c r="I439" s="98">
        <f>I436+3*(I446-I436)/10</f>
        <v>2798.78</v>
      </c>
      <c r="J439" s="225">
        <f t="shared" si="29"/>
        <v>216.5</v>
      </c>
      <c r="K439" s="19"/>
    </row>
    <row r="440" spans="2:11" ht="12.75">
      <c r="B440" s="111">
        <f t="shared" si="28"/>
        <v>217</v>
      </c>
      <c r="C440" s="227">
        <f>C436+4*(C446-C436)/10</f>
        <v>21.9152</v>
      </c>
      <c r="D440" s="93">
        <f>D436+4*(D446-D436)/10</f>
        <v>0.0011846600000000001</v>
      </c>
      <c r="E440" s="96">
        <f t="shared" si="38"/>
        <v>0.09000554</v>
      </c>
      <c r="F440" s="228">
        <f>F436+4*(F446-F436)/10</f>
        <v>0.0911902</v>
      </c>
      <c r="G440" s="98">
        <f>G436+4*(G446-G436)/10</f>
        <v>929.84</v>
      </c>
      <c r="H440" s="98">
        <f t="shared" si="39"/>
        <v>1869.1</v>
      </c>
      <c r="I440" s="98">
        <f>I436+4*(I446-I436)/10</f>
        <v>2798.94</v>
      </c>
      <c r="J440" s="225">
        <f t="shared" si="29"/>
        <v>217</v>
      </c>
      <c r="K440" s="19"/>
    </row>
    <row r="441" spans="2:11" ht="12.75">
      <c r="B441" s="111">
        <f t="shared" si="28"/>
        <v>217.5</v>
      </c>
      <c r="C441" s="227">
        <f>C436+5*(C446-C436)/10</f>
        <v>22.128999999999998</v>
      </c>
      <c r="D441" s="93">
        <f>D436+5*(D446-D436)/10</f>
        <v>0.00118555</v>
      </c>
      <c r="E441" s="96">
        <f t="shared" si="38"/>
        <v>0.08914595000000002</v>
      </c>
      <c r="F441" s="228">
        <f>F436+5*(F446-F436)/10</f>
        <v>0.09033150000000001</v>
      </c>
      <c r="G441" s="98">
        <f>G436+5*(G446-G436)/10</f>
        <v>932.1500000000001</v>
      </c>
      <c r="H441" s="98">
        <f t="shared" si="39"/>
        <v>1866.9500000000003</v>
      </c>
      <c r="I441" s="98">
        <f>I436+5*(I446-I436)/10</f>
        <v>2799.1000000000004</v>
      </c>
      <c r="J441" s="225">
        <f t="shared" si="29"/>
        <v>217.5</v>
      </c>
      <c r="K441" s="19"/>
    </row>
    <row r="442" spans="2:11" ht="12.75">
      <c r="B442" s="111">
        <f t="shared" si="28"/>
        <v>218</v>
      </c>
      <c r="C442" s="227">
        <f>C436+6*(C446-C436)/10</f>
        <v>22.3428</v>
      </c>
      <c r="D442" s="93">
        <f>D436+6*(D446-D436)/10</f>
        <v>0.00118644</v>
      </c>
      <c r="E442" s="96">
        <f t="shared" si="38"/>
        <v>0.08828636000000001</v>
      </c>
      <c r="F442" s="228">
        <f>F436+6*(F446-F436)/10</f>
        <v>0.0894728</v>
      </c>
      <c r="G442" s="98">
        <f>G436+6*(G446-G436)/10</f>
        <v>934.46</v>
      </c>
      <c r="H442" s="98">
        <f t="shared" si="39"/>
        <v>1864.8000000000002</v>
      </c>
      <c r="I442" s="98">
        <f>I436+6*(I446-I436)/10</f>
        <v>2799.26</v>
      </c>
      <c r="J442" s="225">
        <f t="shared" si="29"/>
        <v>218</v>
      </c>
      <c r="K442" s="19"/>
    </row>
    <row r="443" spans="2:11" ht="12.75">
      <c r="B443" s="111">
        <f t="shared" si="28"/>
        <v>218.5</v>
      </c>
      <c r="C443" s="227">
        <f>C436+7*(C446-C436)/10</f>
        <v>22.5566</v>
      </c>
      <c r="D443" s="93">
        <f>D436+7*(D446-D436)/10</f>
        <v>0.0011873300000000001</v>
      </c>
      <c r="E443" s="96">
        <f t="shared" si="38"/>
        <v>0.08742677</v>
      </c>
      <c r="F443" s="228">
        <f>F436+7*(F446-F436)/10</f>
        <v>0.0886141</v>
      </c>
      <c r="G443" s="98">
        <f>G436+7*(G446-G436)/10</f>
        <v>936.77</v>
      </c>
      <c r="H443" s="98">
        <f t="shared" si="39"/>
        <v>1862.65</v>
      </c>
      <c r="I443" s="98">
        <f>I436+7*(I446-I436)/10</f>
        <v>2799.42</v>
      </c>
      <c r="J443" s="225">
        <f t="shared" si="29"/>
        <v>218.5</v>
      </c>
      <c r="K443" s="19"/>
    </row>
    <row r="444" spans="2:11" ht="12.75">
      <c r="B444" s="111">
        <f t="shared" si="28"/>
        <v>219</v>
      </c>
      <c r="C444" s="227">
        <f>C436+8*(C446-C436)/10</f>
        <v>22.7704</v>
      </c>
      <c r="D444" s="93">
        <f>D436+8*(D446-D436)/10</f>
        <v>0.00118822</v>
      </c>
      <c r="E444" s="96">
        <f t="shared" si="38"/>
        <v>0.08656718</v>
      </c>
      <c r="F444" s="228">
        <f>F436+8*(F446-F436)/10</f>
        <v>0.0877554</v>
      </c>
      <c r="G444" s="98">
        <f>G436+8*(G446-G436)/10</f>
        <v>939.08</v>
      </c>
      <c r="H444" s="98">
        <f t="shared" si="39"/>
        <v>1860.5</v>
      </c>
      <c r="I444" s="98">
        <f>I436+8*(I446-I436)/10</f>
        <v>2799.58</v>
      </c>
      <c r="J444" s="225">
        <f t="shared" si="29"/>
        <v>219</v>
      </c>
      <c r="K444" s="19"/>
    </row>
    <row r="445" spans="2:11" ht="12.75">
      <c r="B445" s="111">
        <f t="shared" si="28"/>
        <v>219.5</v>
      </c>
      <c r="C445" s="227">
        <f>C436+9*(C446-C436)/10</f>
        <v>22.9842</v>
      </c>
      <c r="D445" s="93">
        <f>D436+9*(D446-D436)/10</f>
        <v>0.0011891100000000002</v>
      </c>
      <c r="E445" s="96">
        <f t="shared" si="38"/>
        <v>0.08570759</v>
      </c>
      <c r="F445" s="228">
        <f>F436+9*(F446-F436)/10</f>
        <v>0.08689670000000001</v>
      </c>
      <c r="G445" s="98">
        <f>G436+9*(G446-G436)/10</f>
        <v>941.3900000000001</v>
      </c>
      <c r="H445" s="98">
        <f t="shared" si="39"/>
        <v>1858.3500000000001</v>
      </c>
      <c r="I445" s="98">
        <f>I436+9*(I446-I436)/10</f>
        <v>2799.7400000000002</v>
      </c>
      <c r="J445" s="225">
        <f t="shared" si="29"/>
        <v>219.5</v>
      </c>
      <c r="K445" s="19"/>
    </row>
    <row r="446" spans="2:11" ht="12.75">
      <c r="B446" s="111">
        <f t="shared" si="28"/>
        <v>220</v>
      </c>
      <c r="C446" s="227">
        <v>23.198</v>
      </c>
      <c r="D446" s="93">
        <v>0.00119</v>
      </c>
      <c r="E446" s="180">
        <f>F446-D446</f>
        <v>0.084848</v>
      </c>
      <c r="F446" s="180">
        <v>0.086038</v>
      </c>
      <c r="G446" s="180">
        <v>943.7</v>
      </c>
      <c r="H446" s="180">
        <f>I446-G446</f>
        <v>1856.2</v>
      </c>
      <c r="I446" s="180">
        <v>2799.9</v>
      </c>
      <c r="J446" s="225">
        <f t="shared" si="29"/>
        <v>220</v>
      </c>
      <c r="K446" s="19"/>
    </row>
    <row r="447" spans="2:11" ht="12.75">
      <c r="B447" s="111">
        <f t="shared" si="28"/>
        <v>220.5</v>
      </c>
      <c r="C447" s="227">
        <f>C446+1*(C456-C446)/10</f>
        <v>23.4283</v>
      </c>
      <c r="D447" s="93">
        <f>D446+1*(D456-D446)/10</f>
        <v>0.00119092</v>
      </c>
      <c r="E447" s="96">
        <f aca="true" t="shared" si="40" ref="E447:E455">F447-D447</f>
        <v>0.08407818</v>
      </c>
      <c r="F447" s="228">
        <f>F446+1*(F456-F446)/10</f>
        <v>0.0852691</v>
      </c>
      <c r="G447" s="98">
        <f>G446+1*(G456-G446)/10</f>
        <v>946.02</v>
      </c>
      <c r="H447" s="98">
        <f aca="true" t="shared" si="41" ref="H447:H455">I447-G447</f>
        <v>1854.0100000000002</v>
      </c>
      <c r="I447" s="98">
        <f>I446+1*(I456-I446)/10</f>
        <v>2800.03</v>
      </c>
      <c r="J447" s="225">
        <f t="shared" si="29"/>
        <v>220.5</v>
      </c>
      <c r="K447" s="19"/>
    </row>
    <row r="448" spans="2:11" ht="12.75">
      <c r="B448" s="111">
        <f t="shared" si="28"/>
        <v>221</v>
      </c>
      <c r="C448" s="227">
        <f>C446+2*(C456-C446)/10</f>
        <v>23.6586</v>
      </c>
      <c r="D448" s="93">
        <f>D446+2*(D456-D446)/10</f>
        <v>0.00119184</v>
      </c>
      <c r="E448" s="96">
        <f t="shared" si="40"/>
        <v>0.08330836</v>
      </c>
      <c r="F448" s="228">
        <f>F446+2*(F456-F446)/10</f>
        <v>0.0845002</v>
      </c>
      <c r="G448" s="98">
        <f>G446+2*(G456-G446)/10</f>
        <v>948.34</v>
      </c>
      <c r="H448" s="98">
        <f t="shared" si="41"/>
        <v>1851.8199999999997</v>
      </c>
      <c r="I448" s="98">
        <f>I446+2*(I456-I446)/10</f>
        <v>2800.16</v>
      </c>
      <c r="J448" s="225">
        <f t="shared" si="29"/>
        <v>221</v>
      </c>
      <c r="K448" s="19"/>
    </row>
    <row r="449" spans="2:11" ht="12.75">
      <c r="B449" s="111">
        <f t="shared" si="28"/>
        <v>221.5</v>
      </c>
      <c r="C449" s="227">
        <f>C446+3*(C456-C446)/10</f>
        <v>23.8889</v>
      </c>
      <c r="D449" s="93">
        <f>D446+3*(D456-D446)/10</f>
        <v>0.0011927600000000002</v>
      </c>
      <c r="E449" s="96">
        <f t="shared" si="40"/>
        <v>0.08253854000000001</v>
      </c>
      <c r="F449" s="228">
        <f>F446+3*(F456-F446)/10</f>
        <v>0.08373130000000001</v>
      </c>
      <c r="G449" s="98">
        <f>G446+3*(G456-G446)/10</f>
        <v>950.6600000000001</v>
      </c>
      <c r="H449" s="98">
        <f t="shared" si="41"/>
        <v>1849.6299999999999</v>
      </c>
      <c r="I449" s="98">
        <f>I446+3*(I456-I446)/10</f>
        <v>2800.29</v>
      </c>
      <c r="J449" s="225">
        <f t="shared" si="29"/>
        <v>221.5</v>
      </c>
      <c r="K449" s="19"/>
    </row>
    <row r="450" spans="2:11" ht="12.75">
      <c r="B450" s="111">
        <f t="shared" si="28"/>
        <v>222</v>
      </c>
      <c r="C450" s="227">
        <f>C446+4*(C456-C446)/10</f>
        <v>24.1192</v>
      </c>
      <c r="D450" s="93">
        <f>D446+4*(D456-D446)/10</f>
        <v>0.0011936800000000001</v>
      </c>
      <c r="E450" s="96">
        <f t="shared" si="40"/>
        <v>0.08176872</v>
      </c>
      <c r="F450" s="228">
        <f>F446+4*(F456-F446)/10</f>
        <v>0.0829624</v>
      </c>
      <c r="G450" s="98">
        <f>G446+4*(G456-G446)/10</f>
        <v>952.98</v>
      </c>
      <c r="H450" s="98">
        <f t="shared" si="41"/>
        <v>1847.44</v>
      </c>
      <c r="I450" s="98">
        <f>I446+4*(I456-I446)/10</f>
        <v>2800.42</v>
      </c>
      <c r="J450" s="225">
        <f t="shared" si="29"/>
        <v>222</v>
      </c>
      <c r="K450" s="19"/>
    </row>
    <row r="451" spans="2:11" ht="12.75">
      <c r="B451" s="111">
        <f t="shared" si="28"/>
        <v>222.5</v>
      </c>
      <c r="C451" s="227">
        <f>C446+5*(C456-C446)/10</f>
        <v>24.3495</v>
      </c>
      <c r="D451" s="93">
        <f>D446+5*(D456-D446)/10</f>
        <v>0.0011946</v>
      </c>
      <c r="E451" s="96">
        <f t="shared" si="40"/>
        <v>0.0809989</v>
      </c>
      <c r="F451" s="228">
        <f>F446+5*(F456-F446)/10</f>
        <v>0.0821935</v>
      </c>
      <c r="G451" s="98">
        <f>G446+5*(G456-G446)/10</f>
        <v>955.3</v>
      </c>
      <c r="H451" s="98">
        <f t="shared" si="41"/>
        <v>1845.2500000000002</v>
      </c>
      <c r="I451" s="98">
        <f>I446+5*(I456-I446)/10</f>
        <v>2800.55</v>
      </c>
      <c r="J451" s="225">
        <f t="shared" si="29"/>
        <v>222.5</v>
      </c>
      <c r="K451" s="19"/>
    </row>
    <row r="452" spans="2:11" ht="12.75">
      <c r="B452" s="111">
        <f t="shared" si="28"/>
        <v>223</v>
      </c>
      <c r="C452" s="227">
        <f>C446+6*(C456-C446)/10</f>
        <v>24.579800000000002</v>
      </c>
      <c r="D452" s="93">
        <f>D446+6*(D456-D446)/10</f>
        <v>0.00119552</v>
      </c>
      <c r="E452" s="96">
        <f t="shared" si="40"/>
        <v>0.08022908</v>
      </c>
      <c r="F452" s="228">
        <f>F446+6*(F456-F446)/10</f>
        <v>0.0814246</v>
      </c>
      <c r="G452" s="98">
        <f>G446+6*(G456-G446)/10</f>
        <v>957.62</v>
      </c>
      <c r="H452" s="98">
        <f t="shared" si="41"/>
        <v>1843.06</v>
      </c>
      <c r="I452" s="98">
        <f>I446+6*(I456-I446)/10</f>
        <v>2800.68</v>
      </c>
      <c r="J452" s="225">
        <f t="shared" si="29"/>
        <v>223</v>
      </c>
      <c r="K452" s="19"/>
    </row>
    <row r="453" spans="2:11" ht="12.75">
      <c r="B453" s="111">
        <f t="shared" si="28"/>
        <v>223.5</v>
      </c>
      <c r="C453" s="227">
        <f>C446+7*(C456-C446)/10</f>
        <v>24.810100000000002</v>
      </c>
      <c r="D453" s="93">
        <f>D446+7*(D456-D446)/10</f>
        <v>0.00119644</v>
      </c>
      <c r="E453" s="96">
        <f t="shared" si="40"/>
        <v>0.07945926</v>
      </c>
      <c r="F453" s="228">
        <f>F446+7*(F456-F446)/10</f>
        <v>0.0806557</v>
      </c>
      <c r="G453" s="98">
        <f>G446+7*(G456-G446)/10</f>
        <v>959.94</v>
      </c>
      <c r="H453" s="98">
        <f t="shared" si="41"/>
        <v>1840.87</v>
      </c>
      <c r="I453" s="98">
        <f>I446+7*(I456-I446)/10</f>
        <v>2800.81</v>
      </c>
      <c r="J453" s="225">
        <f t="shared" si="29"/>
        <v>223.5</v>
      </c>
      <c r="K453" s="19"/>
    </row>
    <row r="454" spans="2:11" ht="12.75">
      <c r="B454" s="111">
        <f t="shared" si="28"/>
        <v>224</v>
      </c>
      <c r="C454" s="227">
        <f>C446+8*(C456-C446)/10</f>
        <v>25.0404</v>
      </c>
      <c r="D454" s="93">
        <f>D446+8*(D456-D446)/10</f>
        <v>0.0011973600000000002</v>
      </c>
      <c r="E454" s="96">
        <f t="shared" si="40"/>
        <v>0.07868944000000001</v>
      </c>
      <c r="F454" s="228">
        <f>F446+8*(F456-F446)/10</f>
        <v>0.07988680000000001</v>
      </c>
      <c r="G454" s="98">
        <f>G446+8*(G456-G446)/10</f>
        <v>962.26</v>
      </c>
      <c r="H454" s="98">
        <f t="shared" si="41"/>
        <v>1838.68</v>
      </c>
      <c r="I454" s="98">
        <f>I446+8*(I456-I446)/10</f>
        <v>2800.94</v>
      </c>
      <c r="J454" s="225">
        <f t="shared" si="29"/>
        <v>224</v>
      </c>
      <c r="K454" s="19"/>
    </row>
    <row r="455" spans="2:11" ht="12.75">
      <c r="B455" s="111">
        <f t="shared" si="28"/>
        <v>224.5</v>
      </c>
      <c r="C455" s="227">
        <f>C446+9*(C456-C446)/10</f>
        <v>25.2707</v>
      </c>
      <c r="D455" s="93">
        <f>D446+9*(D456-D446)/10</f>
        <v>0.0011982800000000001</v>
      </c>
      <c r="E455" s="96">
        <f t="shared" si="40"/>
        <v>0.07791962000000001</v>
      </c>
      <c r="F455" s="228">
        <f>F446+9*(F456-F446)/10</f>
        <v>0.0791179</v>
      </c>
      <c r="G455" s="98">
        <f>G446+9*(G456-G446)/10</f>
        <v>964.5799999999999</v>
      </c>
      <c r="H455" s="98">
        <f t="shared" si="41"/>
        <v>1836.4899999999998</v>
      </c>
      <c r="I455" s="98">
        <f>I446+9*(I456-I446)/10</f>
        <v>2801.0699999999997</v>
      </c>
      <c r="J455" s="225">
        <f t="shared" si="29"/>
        <v>224.5</v>
      </c>
      <c r="K455" s="19"/>
    </row>
    <row r="456" spans="2:11" ht="12.75">
      <c r="B456" s="111">
        <f aca="true" t="shared" si="42" ref="B456:B519">B455+0.5</f>
        <v>225</v>
      </c>
      <c r="C456" s="227">
        <v>25.501</v>
      </c>
      <c r="D456" s="93">
        <v>0.0011992</v>
      </c>
      <c r="E456" s="180">
        <f>F456-D456</f>
        <v>0.0771498</v>
      </c>
      <c r="F456" s="180">
        <v>0.078349</v>
      </c>
      <c r="G456" s="180">
        <v>966.9</v>
      </c>
      <c r="H456" s="180">
        <f>I456-G456</f>
        <v>1834.2999999999997</v>
      </c>
      <c r="I456" s="180">
        <v>2801.2</v>
      </c>
      <c r="J456" s="225">
        <f aca="true" t="shared" si="43" ref="J456:J519">J455+0.5</f>
        <v>225</v>
      </c>
      <c r="K456" s="19"/>
    </row>
    <row r="457" spans="2:11" ht="12.75">
      <c r="B457" s="111">
        <f t="shared" si="42"/>
        <v>225.5</v>
      </c>
      <c r="C457" s="227">
        <f>C456+1*(C466-C456)/10</f>
        <v>25.7485</v>
      </c>
      <c r="D457" s="93">
        <f>D456+1*(D466-D456)/10</f>
        <v>0.00120015</v>
      </c>
      <c r="E457" s="96">
        <f aca="true" t="shared" si="44" ref="E457:E465">F457-D457</f>
        <v>0.07645895000000001</v>
      </c>
      <c r="F457" s="228">
        <f>F456+1*(F466-F456)/10</f>
        <v>0.07765910000000001</v>
      </c>
      <c r="G457" s="98">
        <f>G456+1*(G466-G456)/10</f>
        <v>969.24</v>
      </c>
      <c r="H457" s="98">
        <f aca="true" t="shared" si="45" ref="H457:H465">I457-G457</f>
        <v>1832.0399999999997</v>
      </c>
      <c r="I457" s="98">
        <f>I456+1*(I466-I456)/10</f>
        <v>2801.2799999999997</v>
      </c>
      <c r="J457" s="225">
        <f t="shared" si="43"/>
        <v>225.5</v>
      </c>
      <c r="K457" s="19"/>
    </row>
    <row r="458" spans="2:11" ht="12.75">
      <c r="B458" s="111">
        <f t="shared" si="42"/>
        <v>226</v>
      </c>
      <c r="C458" s="227">
        <f>C456+2*(C466-C456)/10</f>
        <v>25.996000000000002</v>
      </c>
      <c r="D458" s="93">
        <f>D456+2*(D466-D456)/10</f>
        <v>0.0012011</v>
      </c>
      <c r="E458" s="96">
        <f t="shared" si="44"/>
        <v>0.0757681</v>
      </c>
      <c r="F458" s="228">
        <f>F456+2*(F466-F456)/10</f>
        <v>0.0769692</v>
      </c>
      <c r="G458" s="98">
        <f>G456+2*(G466-G456)/10</f>
        <v>971.5799999999999</v>
      </c>
      <c r="H458" s="98">
        <f t="shared" si="45"/>
        <v>1829.7799999999997</v>
      </c>
      <c r="I458" s="98">
        <f>I456+2*(I466-I456)/10</f>
        <v>2801.3599999999997</v>
      </c>
      <c r="J458" s="225">
        <f t="shared" si="43"/>
        <v>226</v>
      </c>
      <c r="K458" s="19"/>
    </row>
    <row r="459" spans="2:11" ht="12.75">
      <c r="B459" s="111">
        <f t="shared" si="42"/>
        <v>226.5</v>
      </c>
      <c r="C459" s="227">
        <f>C456+3*(C466-C456)/10</f>
        <v>26.2435</v>
      </c>
      <c r="D459" s="93">
        <f>D456+3*(D466-D456)/10</f>
        <v>0.00120205</v>
      </c>
      <c r="E459" s="96">
        <f t="shared" si="44"/>
        <v>0.07507725</v>
      </c>
      <c r="F459" s="228">
        <f>F456+3*(F466-F456)/10</f>
        <v>0.0762793</v>
      </c>
      <c r="G459" s="98">
        <f>G456+3*(G466-G456)/10</f>
        <v>973.92</v>
      </c>
      <c r="H459" s="98">
        <f t="shared" si="45"/>
        <v>1827.52</v>
      </c>
      <c r="I459" s="98">
        <f>I456+3*(I466-I456)/10</f>
        <v>2801.44</v>
      </c>
      <c r="J459" s="225">
        <f t="shared" si="43"/>
        <v>226.5</v>
      </c>
      <c r="K459" s="19"/>
    </row>
    <row r="460" spans="2:11" ht="12.75">
      <c r="B460" s="111">
        <f t="shared" si="42"/>
        <v>227</v>
      </c>
      <c r="C460" s="227">
        <f>C456+4*(C466-C456)/10</f>
        <v>26.491</v>
      </c>
      <c r="D460" s="93">
        <f>D456+4*(D466-D456)/10</f>
        <v>0.001203</v>
      </c>
      <c r="E460" s="96">
        <f t="shared" si="44"/>
        <v>0.0743864</v>
      </c>
      <c r="F460" s="228">
        <f>F456+4*(F466-F456)/10</f>
        <v>0.0755894</v>
      </c>
      <c r="G460" s="98">
        <f>G456+4*(G466-G456)/10</f>
        <v>976.26</v>
      </c>
      <c r="H460" s="98">
        <f t="shared" si="45"/>
        <v>1825.26</v>
      </c>
      <c r="I460" s="98">
        <f>I456+4*(I466-I456)/10</f>
        <v>2801.52</v>
      </c>
      <c r="J460" s="225">
        <f t="shared" si="43"/>
        <v>227</v>
      </c>
      <c r="K460" s="19"/>
    </row>
    <row r="461" spans="2:11" ht="12.75">
      <c r="B461" s="111">
        <f t="shared" si="42"/>
        <v>227.5</v>
      </c>
      <c r="C461" s="227">
        <f>C456+5*(C466-C456)/10</f>
        <v>26.738500000000002</v>
      </c>
      <c r="D461" s="93">
        <f>D456+5*(D466-D456)/10</f>
        <v>0.00120395</v>
      </c>
      <c r="E461" s="96">
        <f t="shared" si="44"/>
        <v>0.07369555000000001</v>
      </c>
      <c r="F461" s="228">
        <f>F456+5*(F466-F456)/10</f>
        <v>0.07489950000000001</v>
      </c>
      <c r="G461" s="98">
        <f>G456+5*(G466-G456)/10</f>
        <v>978.5999999999999</v>
      </c>
      <c r="H461" s="98">
        <f t="shared" si="45"/>
        <v>1823</v>
      </c>
      <c r="I461" s="98">
        <f>I456+5*(I466-I456)/10</f>
        <v>2801.6</v>
      </c>
      <c r="J461" s="225">
        <f t="shared" si="43"/>
        <v>227.5</v>
      </c>
      <c r="K461" s="19"/>
    </row>
    <row r="462" spans="2:11" ht="12.75">
      <c r="B462" s="111">
        <f t="shared" si="42"/>
        <v>228</v>
      </c>
      <c r="C462" s="227">
        <f>C456+6*(C466-C456)/10</f>
        <v>26.986</v>
      </c>
      <c r="D462" s="93">
        <f>D456+6*(D466-D456)/10</f>
        <v>0.0012049</v>
      </c>
      <c r="E462" s="96">
        <f t="shared" si="44"/>
        <v>0.0730047</v>
      </c>
      <c r="F462" s="228">
        <f>F456+6*(F466-F456)/10</f>
        <v>0.0742096</v>
      </c>
      <c r="G462" s="98">
        <f>G456+6*(G466-G456)/10</f>
        <v>980.9399999999999</v>
      </c>
      <c r="H462" s="98">
        <f t="shared" si="45"/>
        <v>1820.7399999999998</v>
      </c>
      <c r="I462" s="98">
        <f>I456+6*(I466-I456)/10</f>
        <v>2801.68</v>
      </c>
      <c r="J462" s="225">
        <f t="shared" si="43"/>
        <v>228</v>
      </c>
      <c r="K462" s="19"/>
    </row>
    <row r="463" spans="2:11" ht="12.75">
      <c r="B463" s="111">
        <f t="shared" si="42"/>
        <v>228.5</v>
      </c>
      <c r="C463" s="227">
        <f>C456+7*(C466-C456)/10</f>
        <v>27.2335</v>
      </c>
      <c r="D463" s="93">
        <f>D456+7*(D466-D456)/10</f>
        <v>0.00120585</v>
      </c>
      <c r="E463" s="96">
        <f t="shared" si="44"/>
        <v>0.07231385</v>
      </c>
      <c r="F463" s="228">
        <f>F456+7*(F466-F456)/10</f>
        <v>0.0735197</v>
      </c>
      <c r="G463" s="98">
        <f>G456+7*(G466-G456)/10</f>
        <v>983.28</v>
      </c>
      <c r="H463" s="98">
        <f t="shared" si="45"/>
        <v>1818.4799999999998</v>
      </c>
      <c r="I463" s="98">
        <f>I456+7*(I466-I456)/10</f>
        <v>2801.7599999999998</v>
      </c>
      <c r="J463" s="225">
        <f t="shared" si="43"/>
        <v>228.5</v>
      </c>
      <c r="K463" s="19"/>
    </row>
    <row r="464" spans="2:11" ht="12.75">
      <c r="B464" s="111">
        <f t="shared" si="42"/>
        <v>229</v>
      </c>
      <c r="C464" s="227">
        <f>C456+8*(C466-C456)/10</f>
        <v>27.480999999999998</v>
      </c>
      <c r="D464" s="93">
        <f>D456+8*(D466-D456)/10</f>
        <v>0.0012068</v>
      </c>
      <c r="E464" s="96">
        <f t="shared" si="44"/>
        <v>0.071623</v>
      </c>
      <c r="F464" s="228">
        <f>F456+8*(F466-F456)/10</f>
        <v>0.0728298</v>
      </c>
      <c r="G464" s="98">
        <f>G456+8*(G466-G456)/10</f>
        <v>985.62</v>
      </c>
      <c r="H464" s="98">
        <f t="shared" si="45"/>
        <v>1816.2200000000003</v>
      </c>
      <c r="I464" s="98">
        <f>I456+8*(I466-I456)/10</f>
        <v>2801.84</v>
      </c>
      <c r="J464" s="225">
        <f t="shared" si="43"/>
        <v>229</v>
      </c>
      <c r="K464" s="19"/>
    </row>
    <row r="465" spans="2:11" ht="12.75">
      <c r="B465" s="111">
        <f t="shared" si="42"/>
        <v>229.5</v>
      </c>
      <c r="C465" s="227">
        <f>C456+9*(C466-C456)/10</f>
        <v>27.7285</v>
      </c>
      <c r="D465" s="93">
        <f>D456+9*(D466-D456)/10</f>
        <v>0.00120775</v>
      </c>
      <c r="E465" s="96">
        <f t="shared" si="44"/>
        <v>0.07093215000000001</v>
      </c>
      <c r="F465" s="228">
        <f>F456+9*(F466-F456)/10</f>
        <v>0.0721399</v>
      </c>
      <c r="G465" s="98">
        <f>G456+9*(G466-G456)/10</f>
        <v>987.9599999999999</v>
      </c>
      <c r="H465" s="98">
        <f t="shared" si="45"/>
        <v>1813.96</v>
      </c>
      <c r="I465" s="98">
        <f>I456+9*(I466-I456)/10</f>
        <v>2801.92</v>
      </c>
      <c r="J465" s="225">
        <f t="shared" si="43"/>
        <v>229.5</v>
      </c>
      <c r="K465" s="19"/>
    </row>
    <row r="466" spans="2:11" ht="12.75">
      <c r="B466" s="111">
        <f t="shared" si="42"/>
        <v>230</v>
      </c>
      <c r="C466" s="227">
        <v>27.976</v>
      </c>
      <c r="D466" s="93">
        <v>0.0012087</v>
      </c>
      <c r="E466" s="180">
        <f>F466-D466</f>
        <v>0.0702413</v>
      </c>
      <c r="F466" s="180">
        <v>0.07145</v>
      </c>
      <c r="G466" s="180">
        <v>990.3</v>
      </c>
      <c r="H466" s="180">
        <f>I466-G466</f>
        <v>1811.7</v>
      </c>
      <c r="I466" s="180">
        <v>2802</v>
      </c>
      <c r="J466" s="225">
        <f t="shared" si="43"/>
        <v>230</v>
      </c>
      <c r="K466" s="19"/>
    </row>
    <row r="467" spans="2:11" ht="12.75">
      <c r="B467" s="111">
        <f t="shared" si="42"/>
        <v>230.5</v>
      </c>
      <c r="C467" s="227">
        <f>C466+1*(C476-C466)/10</f>
        <v>28.2416</v>
      </c>
      <c r="D467" s="93">
        <f>D466+1*(D476-D466)/10</f>
        <v>0.0012097</v>
      </c>
      <c r="E467" s="96">
        <f aca="true" t="shared" si="46" ref="E467:E475">F467-D467</f>
        <v>0.0695198</v>
      </c>
      <c r="F467" s="228">
        <f>F466+1*(F476-F466)/10</f>
        <v>0.0707295</v>
      </c>
      <c r="G467" s="98">
        <f>G466+1*(G476-G466)/10</f>
        <v>992.65</v>
      </c>
      <c r="H467" s="98">
        <f aca="true" t="shared" si="47" ref="H467:H475">I467-G467</f>
        <v>1809.38</v>
      </c>
      <c r="I467" s="98">
        <f>I466+1*(I476-I466)/10</f>
        <v>2802.03</v>
      </c>
      <c r="J467" s="225">
        <f t="shared" si="43"/>
        <v>230.5</v>
      </c>
      <c r="K467" s="19"/>
    </row>
    <row r="468" spans="2:11" ht="12.75">
      <c r="B468" s="111">
        <f t="shared" si="42"/>
        <v>231</v>
      </c>
      <c r="C468" s="227">
        <f>C466+2*(C476-C466)/10</f>
        <v>28.5072</v>
      </c>
      <c r="D468" s="93">
        <f>D466+2*(D476-D466)/10</f>
        <v>0.0012107</v>
      </c>
      <c r="E468" s="96">
        <f t="shared" si="46"/>
        <v>0.0687983</v>
      </c>
      <c r="F468" s="228">
        <f>F466+2*(F476-F466)/10</f>
        <v>0.070009</v>
      </c>
      <c r="G468" s="98">
        <f>G466+2*(G476-G466)/10</f>
        <v>995</v>
      </c>
      <c r="H468" s="98">
        <f t="shared" si="47"/>
        <v>1807.06</v>
      </c>
      <c r="I468" s="98">
        <f>I466+2*(I476-I466)/10</f>
        <v>2802.06</v>
      </c>
      <c r="J468" s="225">
        <f t="shared" si="43"/>
        <v>231</v>
      </c>
      <c r="K468" s="19"/>
    </row>
    <row r="469" spans="2:11" ht="12.75">
      <c r="B469" s="111">
        <f t="shared" si="42"/>
        <v>231.5</v>
      </c>
      <c r="C469" s="227">
        <f>C466+3*(C476-C466)/10</f>
        <v>28.7728</v>
      </c>
      <c r="D469" s="93">
        <f>D466+3*(D476-D466)/10</f>
        <v>0.0012117</v>
      </c>
      <c r="E469" s="96">
        <f t="shared" si="46"/>
        <v>0.0680768</v>
      </c>
      <c r="F469" s="228">
        <f>F466+3*(F476-F466)/10</f>
        <v>0.0692885</v>
      </c>
      <c r="G469" s="98">
        <f>G466+3*(G476-G466)/10</f>
        <v>997.3499999999999</v>
      </c>
      <c r="H469" s="98">
        <f t="shared" si="47"/>
        <v>1804.7400000000002</v>
      </c>
      <c r="I469" s="98">
        <f>I466+3*(I476-I466)/10</f>
        <v>2802.09</v>
      </c>
      <c r="J469" s="225">
        <f t="shared" si="43"/>
        <v>231.5</v>
      </c>
      <c r="K469" s="19"/>
    </row>
    <row r="470" spans="2:11" ht="12.75">
      <c r="B470" s="111">
        <f t="shared" si="42"/>
        <v>232</v>
      </c>
      <c r="C470" s="227">
        <f>C466+4*(C476-C466)/10</f>
        <v>29.0384</v>
      </c>
      <c r="D470" s="93">
        <f>D466+4*(D476-D466)/10</f>
        <v>0.0012127000000000001</v>
      </c>
      <c r="E470" s="96">
        <f t="shared" si="46"/>
        <v>0.0673553</v>
      </c>
      <c r="F470" s="228">
        <f>F466+4*(F476-F466)/10</f>
        <v>0.068568</v>
      </c>
      <c r="G470" s="98">
        <f>G466+4*(G476-G466)/10</f>
        <v>999.6999999999999</v>
      </c>
      <c r="H470" s="98">
        <f t="shared" si="47"/>
        <v>1802.42</v>
      </c>
      <c r="I470" s="98">
        <f>I466+4*(I476-I466)/10</f>
        <v>2802.12</v>
      </c>
      <c r="J470" s="225">
        <f t="shared" si="43"/>
        <v>232</v>
      </c>
      <c r="K470" s="19"/>
    </row>
    <row r="471" spans="2:11" ht="12.75">
      <c r="B471" s="111">
        <f t="shared" si="42"/>
        <v>232.5</v>
      </c>
      <c r="C471" s="227">
        <f>C466+5*(C476-C466)/10</f>
        <v>29.304000000000002</v>
      </c>
      <c r="D471" s="93">
        <f>D466+5*(D476-D466)/10</f>
        <v>0.0012137</v>
      </c>
      <c r="E471" s="96">
        <f t="shared" si="46"/>
        <v>0.0666338</v>
      </c>
      <c r="F471" s="228">
        <f>F466+5*(F476-F466)/10</f>
        <v>0.0678475</v>
      </c>
      <c r="G471" s="98">
        <f>G466+5*(G476-G466)/10</f>
        <v>1002.05</v>
      </c>
      <c r="H471" s="98">
        <f t="shared" si="47"/>
        <v>1800.1000000000001</v>
      </c>
      <c r="I471" s="98">
        <f>I466+5*(I476-I466)/10</f>
        <v>2802.15</v>
      </c>
      <c r="J471" s="225">
        <f t="shared" si="43"/>
        <v>232.5</v>
      </c>
      <c r="K471" s="19"/>
    </row>
    <row r="472" spans="2:11" ht="12.75">
      <c r="B472" s="111">
        <f t="shared" si="42"/>
        <v>233</v>
      </c>
      <c r="C472" s="227">
        <f>C466+6*(C476-C466)/10</f>
        <v>29.5696</v>
      </c>
      <c r="D472" s="93">
        <f>D466+6*(D476-D466)/10</f>
        <v>0.0012147</v>
      </c>
      <c r="E472" s="96">
        <f t="shared" si="46"/>
        <v>0.0659123</v>
      </c>
      <c r="F472" s="228">
        <f>F466+6*(F476-F466)/10</f>
        <v>0.06712699999999999</v>
      </c>
      <c r="G472" s="98">
        <f>G466+6*(G476-G466)/10</f>
        <v>1004.4</v>
      </c>
      <c r="H472" s="98">
        <f t="shared" si="47"/>
        <v>1797.7800000000002</v>
      </c>
      <c r="I472" s="98">
        <f>I466+6*(I476-I466)/10</f>
        <v>2802.1800000000003</v>
      </c>
      <c r="J472" s="225">
        <f t="shared" si="43"/>
        <v>233</v>
      </c>
      <c r="K472" s="19"/>
    </row>
    <row r="473" spans="2:11" ht="12.75">
      <c r="B473" s="111">
        <f t="shared" si="42"/>
        <v>233.5</v>
      </c>
      <c r="C473" s="227">
        <f>C466+7*(C476-C466)/10</f>
        <v>29.8352</v>
      </c>
      <c r="D473" s="93">
        <f>D466+7*(D476-D466)/10</f>
        <v>0.0012157000000000001</v>
      </c>
      <c r="E473" s="96">
        <f t="shared" si="46"/>
        <v>0.0651908</v>
      </c>
      <c r="F473" s="228">
        <f>F466+7*(F476-F466)/10</f>
        <v>0.0664065</v>
      </c>
      <c r="G473" s="98">
        <f>G466+7*(G476-G466)/10</f>
        <v>1006.75</v>
      </c>
      <c r="H473" s="98">
        <f t="shared" si="47"/>
        <v>1795.46</v>
      </c>
      <c r="I473" s="98">
        <f>I466+7*(I476-I466)/10</f>
        <v>2802.21</v>
      </c>
      <c r="J473" s="225">
        <f t="shared" si="43"/>
        <v>233.5</v>
      </c>
      <c r="K473" s="19"/>
    </row>
    <row r="474" spans="2:11" ht="12.75">
      <c r="B474" s="111">
        <f t="shared" si="42"/>
        <v>234</v>
      </c>
      <c r="C474" s="227">
        <f>C466+8*(C476-C466)/10</f>
        <v>30.1008</v>
      </c>
      <c r="D474" s="93">
        <f>D466+8*(D476-D466)/10</f>
        <v>0.0012167</v>
      </c>
      <c r="E474" s="96">
        <f t="shared" si="46"/>
        <v>0.0644693</v>
      </c>
      <c r="F474" s="228">
        <f>F466+8*(F476-F466)/10</f>
        <v>0.065686</v>
      </c>
      <c r="G474" s="98">
        <f>G466+8*(G476-G466)/10</f>
        <v>1009.0999999999999</v>
      </c>
      <c r="H474" s="98">
        <f t="shared" si="47"/>
        <v>1793.1400000000003</v>
      </c>
      <c r="I474" s="98">
        <f>I466+8*(I476-I466)/10</f>
        <v>2802.2400000000002</v>
      </c>
      <c r="J474" s="225">
        <f t="shared" si="43"/>
        <v>234</v>
      </c>
      <c r="K474" s="19"/>
    </row>
    <row r="475" spans="2:11" ht="12.75">
      <c r="B475" s="111">
        <f t="shared" si="42"/>
        <v>234.5</v>
      </c>
      <c r="C475" s="227">
        <f>C466+9*(C476-C466)/10</f>
        <v>30.366400000000002</v>
      </c>
      <c r="D475" s="93">
        <f>D466+9*(D476-D466)/10</f>
        <v>0.0012177000000000002</v>
      </c>
      <c r="E475" s="96">
        <f t="shared" si="46"/>
        <v>0.0637478</v>
      </c>
      <c r="F475" s="228">
        <f>F466+9*(F476-F466)/10</f>
        <v>0.0649655</v>
      </c>
      <c r="G475" s="98">
        <f>G466+9*(G476-G466)/10</f>
        <v>1011.4499999999999</v>
      </c>
      <c r="H475" s="98">
        <f t="shared" si="47"/>
        <v>1790.8200000000002</v>
      </c>
      <c r="I475" s="98">
        <f>I466+9*(I476-I466)/10</f>
        <v>2802.27</v>
      </c>
      <c r="J475" s="225">
        <f t="shared" si="43"/>
        <v>234.5</v>
      </c>
      <c r="K475" s="19"/>
    </row>
    <row r="476" spans="2:11" ht="12.75">
      <c r="B476" s="111">
        <f t="shared" si="42"/>
        <v>235</v>
      </c>
      <c r="C476" s="227">
        <v>30.632</v>
      </c>
      <c r="D476" s="93">
        <v>0.0012187</v>
      </c>
      <c r="E476" s="180">
        <f>F476-D476</f>
        <v>0.0630263</v>
      </c>
      <c r="F476" s="180">
        <v>0.064245</v>
      </c>
      <c r="G476" s="180">
        <v>1013.8</v>
      </c>
      <c r="H476" s="180">
        <f>I476-G476</f>
        <v>1788.5000000000002</v>
      </c>
      <c r="I476" s="180">
        <v>2802.3</v>
      </c>
      <c r="J476" s="225">
        <f t="shared" si="43"/>
        <v>235</v>
      </c>
      <c r="K476" s="19"/>
    </row>
    <row r="477" spans="2:11" ht="12.75">
      <c r="B477" s="111">
        <f t="shared" si="42"/>
        <v>235.5</v>
      </c>
      <c r="C477" s="227">
        <f>C476+1*(C486-C476)/10</f>
        <v>30.916600000000003</v>
      </c>
      <c r="D477" s="93">
        <f>D476+1*(D486-D476)/10</f>
        <v>0.00121974</v>
      </c>
      <c r="E477" s="96">
        <f aca="true" t="shared" si="48" ref="E477:E485">F477-D477</f>
        <v>0.06256526</v>
      </c>
      <c r="F477" s="228">
        <f>F476+1*(F486-F476)/10</f>
        <v>0.063785</v>
      </c>
      <c r="G477" s="98">
        <f>G476+1*(G486-G476)/10</f>
        <v>1016.18</v>
      </c>
      <c r="H477" s="98">
        <f aca="true" t="shared" si="49" ref="H477:H485">I477-G477</f>
        <v>1786.1100000000001</v>
      </c>
      <c r="I477" s="98">
        <f>I476+1*(I486-I476)/10</f>
        <v>2802.29</v>
      </c>
      <c r="J477" s="225">
        <f t="shared" si="43"/>
        <v>235.5</v>
      </c>
      <c r="K477" s="19"/>
    </row>
    <row r="478" spans="2:11" ht="12.75">
      <c r="B478" s="111">
        <f t="shared" si="42"/>
        <v>236</v>
      </c>
      <c r="C478" s="227">
        <f>C476+2*(C486-C476)/10</f>
        <v>31.2012</v>
      </c>
      <c r="D478" s="93">
        <f>D476+2*(D486-D476)/10</f>
        <v>0.00122078</v>
      </c>
      <c r="E478" s="96">
        <f t="shared" si="48"/>
        <v>0.062104219999999995</v>
      </c>
      <c r="F478" s="228">
        <f>F476+2*(F486-F476)/10</f>
        <v>0.06332499999999999</v>
      </c>
      <c r="G478" s="98">
        <f>G476+2*(G486-G476)/10</f>
        <v>1018.56</v>
      </c>
      <c r="H478" s="98">
        <f t="shared" si="49"/>
        <v>1783.7200000000003</v>
      </c>
      <c r="I478" s="98">
        <f>I476+2*(I486-I476)/10</f>
        <v>2802.28</v>
      </c>
      <c r="J478" s="225">
        <f t="shared" si="43"/>
        <v>236</v>
      </c>
      <c r="K478" s="19"/>
    </row>
    <row r="479" spans="2:11" ht="12.75">
      <c r="B479" s="111">
        <f t="shared" si="42"/>
        <v>236.5</v>
      </c>
      <c r="C479" s="227">
        <f>C476+3*(C486-C476)/10</f>
        <v>31.4858</v>
      </c>
      <c r="D479" s="93">
        <f>D476+3*(D486-D476)/10</f>
        <v>0.00122182</v>
      </c>
      <c r="E479" s="96">
        <f t="shared" si="48"/>
        <v>0.06164317999999999</v>
      </c>
      <c r="F479" s="228">
        <f>F476+3*(F486-F476)/10</f>
        <v>0.06286499999999999</v>
      </c>
      <c r="G479" s="98">
        <f>G476+3*(G486-G476)/10</f>
        <v>1020.9399999999999</v>
      </c>
      <c r="H479" s="98">
        <f t="shared" si="49"/>
        <v>1781.33</v>
      </c>
      <c r="I479" s="98">
        <f>I476+3*(I486-I476)/10</f>
        <v>2802.27</v>
      </c>
      <c r="J479" s="225">
        <f t="shared" si="43"/>
        <v>236.5</v>
      </c>
      <c r="K479" s="19"/>
    </row>
    <row r="480" spans="2:11" ht="12.75">
      <c r="B480" s="111">
        <f t="shared" si="42"/>
        <v>237</v>
      </c>
      <c r="C480" s="227">
        <f>C476+4*(C486-C476)/10</f>
        <v>31.770400000000002</v>
      </c>
      <c r="D480" s="93">
        <f>D476+4*(D486-D476)/10</f>
        <v>0.00122286</v>
      </c>
      <c r="E480" s="96">
        <f t="shared" si="48"/>
        <v>0.061182139999999996</v>
      </c>
      <c r="F480" s="228">
        <f>F476+4*(F486-F476)/10</f>
        <v>0.062404999999999995</v>
      </c>
      <c r="G480" s="98">
        <f>G476+4*(G486-G476)/10</f>
        <v>1023.3199999999999</v>
      </c>
      <c r="H480" s="98">
        <f t="shared" si="49"/>
        <v>1778.9400000000003</v>
      </c>
      <c r="I480" s="98">
        <f>I476+4*(I486-I476)/10</f>
        <v>2802.26</v>
      </c>
      <c r="J480" s="225">
        <f t="shared" si="43"/>
        <v>237</v>
      </c>
      <c r="K480" s="19"/>
    </row>
    <row r="481" spans="2:11" ht="12.75">
      <c r="B481" s="111">
        <f t="shared" si="42"/>
        <v>237.5</v>
      </c>
      <c r="C481" s="227">
        <f>C476+5*(C486-C476)/10</f>
        <v>32.055</v>
      </c>
      <c r="D481" s="93">
        <f>D476+5*(D486-D476)/10</f>
        <v>0.0012239</v>
      </c>
      <c r="E481" s="96">
        <f t="shared" si="48"/>
        <v>0.0607211</v>
      </c>
      <c r="F481" s="228">
        <f>F476+5*(F486-F476)/10</f>
        <v>0.061945</v>
      </c>
      <c r="G481" s="98">
        <f>G476+5*(G486-G476)/10</f>
        <v>1025.6999999999998</v>
      </c>
      <c r="H481" s="98">
        <f t="shared" si="49"/>
        <v>1776.5500000000002</v>
      </c>
      <c r="I481" s="98">
        <f>I476+5*(I486-I476)/10</f>
        <v>2802.25</v>
      </c>
      <c r="J481" s="225">
        <f t="shared" si="43"/>
        <v>237.5</v>
      </c>
      <c r="K481" s="19"/>
    </row>
    <row r="482" spans="2:11" ht="12.75">
      <c r="B482" s="111">
        <f t="shared" si="42"/>
        <v>238</v>
      </c>
      <c r="C482" s="227">
        <f>C476+6*(C486-C476)/10</f>
        <v>32.339600000000004</v>
      </c>
      <c r="D482" s="93">
        <f>D476+6*(D486-D476)/10</f>
        <v>0.0012249399999999999</v>
      </c>
      <c r="E482" s="96">
        <f t="shared" si="48"/>
        <v>0.06026006</v>
      </c>
      <c r="F482" s="228">
        <f>F476+6*(F486-F476)/10</f>
        <v>0.061485</v>
      </c>
      <c r="G482" s="98">
        <f>G476+6*(G486-G476)/10</f>
        <v>1028.08</v>
      </c>
      <c r="H482" s="98">
        <f t="shared" si="49"/>
        <v>1774.1599999999999</v>
      </c>
      <c r="I482" s="98">
        <f>I476+6*(I486-I476)/10</f>
        <v>2802.24</v>
      </c>
      <c r="J482" s="225">
        <f t="shared" si="43"/>
        <v>238</v>
      </c>
      <c r="K482" s="19"/>
    </row>
    <row r="483" spans="2:11" ht="12.75">
      <c r="B483" s="111">
        <f t="shared" si="42"/>
        <v>238.5</v>
      </c>
      <c r="C483" s="227">
        <f>C476+7*(C486-C476)/10</f>
        <v>32.6242</v>
      </c>
      <c r="D483" s="93">
        <f>D476+7*(D486-D476)/10</f>
        <v>0.00122598</v>
      </c>
      <c r="E483" s="96">
        <f t="shared" si="48"/>
        <v>0.059799019999999994</v>
      </c>
      <c r="F483" s="228">
        <f>F476+7*(F486-F476)/10</f>
        <v>0.061024999999999996</v>
      </c>
      <c r="G483" s="98">
        <f>G476+7*(G486-G476)/10</f>
        <v>1030.46</v>
      </c>
      <c r="H483" s="98">
        <f t="shared" si="49"/>
        <v>1771.77</v>
      </c>
      <c r="I483" s="98">
        <f>I476+7*(I486-I476)/10</f>
        <v>2802.23</v>
      </c>
      <c r="J483" s="225">
        <f t="shared" si="43"/>
        <v>238.5</v>
      </c>
      <c r="K483" s="19"/>
    </row>
    <row r="484" spans="2:11" ht="12.75">
      <c r="B484" s="111">
        <f t="shared" si="42"/>
        <v>239</v>
      </c>
      <c r="C484" s="227">
        <f>C476+8*(C486-C476)/10</f>
        <v>32.9088</v>
      </c>
      <c r="D484" s="93">
        <f>D476+8*(D486-D476)/10</f>
        <v>0.0012270199999999999</v>
      </c>
      <c r="E484" s="96">
        <f t="shared" si="48"/>
        <v>0.05933797999999999</v>
      </c>
      <c r="F484" s="228">
        <f>F476+8*(F486-F476)/10</f>
        <v>0.060564999999999994</v>
      </c>
      <c r="G484" s="98">
        <f>G476+8*(G486-G476)/10</f>
        <v>1032.84</v>
      </c>
      <c r="H484" s="98">
        <f t="shared" si="49"/>
        <v>1769.3799999999999</v>
      </c>
      <c r="I484" s="98">
        <f>I476+8*(I486-I476)/10</f>
        <v>2802.22</v>
      </c>
      <c r="J484" s="225">
        <f t="shared" si="43"/>
        <v>239</v>
      </c>
      <c r="K484" s="19"/>
    </row>
    <row r="485" spans="2:11" ht="12.75">
      <c r="B485" s="111">
        <f t="shared" si="42"/>
        <v>239.5</v>
      </c>
      <c r="C485" s="227">
        <f>C476+9*(C486-C476)/10</f>
        <v>33.193400000000004</v>
      </c>
      <c r="D485" s="93">
        <f>D476+9*(D486-D476)/10</f>
        <v>0.00122806</v>
      </c>
      <c r="E485" s="96">
        <f t="shared" si="48"/>
        <v>0.058876939999999996</v>
      </c>
      <c r="F485" s="228">
        <f>F476+9*(F486-F476)/10</f>
        <v>0.060105</v>
      </c>
      <c r="G485" s="98">
        <f>G476+9*(G486-G476)/10</f>
        <v>1035.2199999999998</v>
      </c>
      <c r="H485" s="98">
        <f t="shared" si="49"/>
        <v>1766.9900000000002</v>
      </c>
      <c r="I485" s="98">
        <f>I476+9*(I486-I476)/10</f>
        <v>2802.21</v>
      </c>
      <c r="J485" s="225">
        <f t="shared" si="43"/>
        <v>239.5</v>
      </c>
      <c r="K485" s="19"/>
    </row>
    <row r="486" spans="2:11" ht="12.75">
      <c r="B486" s="111">
        <f t="shared" si="42"/>
        <v>240</v>
      </c>
      <c r="C486" s="227">
        <v>33.478</v>
      </c>
      <c r="D486" s="93">
        <v>0.0012291</v>
      </c>
      <c r="E486" s="180">
        <f>F486-D486</f>
        <v>0.0584159</v>
      </c>
      <c r="F486" s="180">
        <v>0.059645</v>
      </c>
      <c r="G486" s="180">
        <v>1037.6</v>
      </c>
      <c r="H486" s="180">
        <f>I486-G486</f>
        <v>1764.6</v>
      </c>
      <c r="I486" s="180">
        <v>2802.2</v>
      </c>
      <c r="J486" s="225">
        <f t="shared" si="43"/>
        <v>240</v>
      </c>
      <c r="K486" s="19"/>
    </row>
    <row r="487" spans="2:11" ht="12.75">
      <c r="B487" s="111">
        <f t="shared" si="42"/>
        <v>240.5</v>
      </c>
      <c r="C487" s="227">
        <f>C486+1*(C496-C486)/10</f>
        <v>33.7825</v>
      </c>
      <c r="D487" s="93">
        <f>D486+1*(D496-D486)/10</f>
        <v>0.00123018</v>
      </c>
      <c r="E487" s="96">
        <f aca="true" t="shared" si="50" ref="E487:E495">F487-D487</f>
        <v>0.05791092</v>
      </c>
      <c r="F487" s="228">
        <f>F486+1*(F496-F486)/10</f>
        <v>0.059141099999999995</v>
      </c>
      <c r="G487" s="98">
        <f>G486+1*(G496-G486)/10</f>
        <v>1040</v>
      </c>
      <c r="H487" s="98">
        <f aca="true" t="shared" si="51" ref="H487:H495">I487-G487</f>
        <v>1762.1399999999999</v>
      </c>
      <c r="I487" s="98">
        <f>I486+1*(I496-I486)/10</f>
        <v>2802.14</v>
      </c>
      <c r="J487" s="225">
        <f t="shared" si="43"/>
        <v>240.5</v>
      </c>
      <c r="K487" s="19"/>
    </row>
    <row r="488" spans="2:11" ht="12.75">
      <c r="B488" s="111">
        <f t="shared" si="42"/>
        <v>241</v>
      </c>
      <c r="C488" s="227">
        <f>C486+2*(C496-C486)/10</f>
        <v>34.087</v>
      </c>
      <c r="D488" s="93">
        <f>D486+2*(D496-D486)/10</f>
        <v>0.0012312599999999999</v>
      </c>
      <c r="E488" s="96">
        <f t="shared" si="50"/>
        <v>0.05740594</v>
      </c>
      <c r="F488" s="228">
        <f>F486+2*(F496-F486)/10</f>
        <v>0.0586372</v>
      </c>
      <c r="G488" s="98">
        <f>G486+2*(G496-G486)/10</f>
        <v>1042.3999999999999</v>
      </c>
      <c r="H488" s="98">
        <f t="shared" si="51"/>
        <v>1759.68</v>
      </c>
      <c r="I488" s="98">
        <f>I486+2*(I496-I486)/10</f>
        <v>2802.08</v>
      </c>
      <c r="J488" s="225">
        <f t="shared" si="43"/>
        <v>241</v>
      </c>
      <c r="K488" s="19"/>
    </row>
    <row r="489" spans="2:11" ht="12.75">
      <c r="B489" s="111">
        <f t="shared" si="42"/>
        <v>241.5</v>
      </c>
      <c r="C489" s="227">
        <f>C486+3*(C496-C486)/10</f>
        <v>34.3915</v>
      </c>
      <c r="D489" s="93">
        <f>D486+3*(D496-D486)/10</f>
        <v>0.00123234</v>
      </c>
      <c r="E489" s="96">
        <f t="shared" si="50"/>
        <v>0.05690096</v>
      </c>
      <c r="F489" s="228">
        <f>F486+3*(F496-F486)/10</f>
        <v>0.0581333</v>
      </c>
      <c r="G489" s="98">
        <f>G486+3*(G496-G486)/10</f>
        <v>1044.8</v>
      </c>
      <c r="H489" s="98">
        <f t="shared" si="51"/>
        <v>1757.22</v>
      </c>
      <c r="I489" s="98">
        <f>I486+3*(I496-I486)/10</f>
        <v>2802.02</v>
      </c>
      <c r="J489" s="225">
        <f t="shared" si="43"/>
        <v>241.5</v>
      </c>
      <c r="K489" s="19"/>
    </row>
    <row r="490" spans="2:11" ht="12.75">
      <c r="B490" s="111">
        <f t="shared" si="42"/>
        <v>242</v>
      </c>
      <c r="C490" s="227">
        <f>C486+4*(C496-C486)/10</f>
        <v>34.696000000000005</v>
      </c>
      <c r="D490" s="93">
        <f>D486+4*(D496-D486)/10</f>
        <v>0.0012334199999999998</v>
      </c>
      <c r="E490" s="96">
        <f t="shared" si="50"/>
        <v>0.05639598</v>
      </c>
      <c r="F490" s="228">
        <f>F486+4*(F496-F486)/10</f>
        <v>0.0576294</v>
      </c>
      <c r="G490" s="98">
        <f>G486+4*(G496-G486)/10</f>
        <v>1047.1999999999998</v>
      </c>
      <c r="H490" s="98">
        <f t="shared" si="51"/>
        <v>1754.7600000000002</v>
      </c>
      <c r="I490" s="98">
        <f>I486+4*(I496-I486)/10</f>
        <v>2801.96</v>
      </c>
      <c r="J490" s="225">
        <f t="shared" si="43"/>
        <v>242</v>
      </c>
      <c r="K490" s="19"/>
    </row>
    <row r="491" spans="2:11" ht="12.75">
      <c r="B491" s="111">
        <f t="shared" si="42"/>
        <v>242.5</v>
      </c>
      <c r="C491" s="227">
        <f>C486+5*(C496-C486)/10</f>
        <v>35.0005</v>
      </c>
      <c r="D491" s="93">
        <f>D486+5*(D496-D486)/10</f>
        <v>0.0012345</v>
      </c>
      <c r="E491" s="96">
        <f t="shared" si="50"/>
        <v>0.055890999999999996</v>
      </c>
      <c r="F491" s="228">
        <f>F486+5*(F496-F486)/10</f>
        <v>0.057125499999999996</v>
      </c>
      <c r="G491" s="98">
        <f>G486+5*(G496-G486)/10</f>
        <v>1049.6</v>
      </c>
      <c r="H491" s="98">
        <f t="shared" si="51"/>
        <v>1752.2999999999997</v>
      </c>
      <c r="I491" s="98">
        <f>I486+5*(I496-I486)/10</f>
        <v>2801.8999999999996</v>
      </c>
      <c r="J491" s="225">
        <f t="shared" si="43"/>
        <v>242.5</v>
      </c>
      <c r="K491" s="19"/>
    </row>
    <row r="492" spans="2:11" ht="12.75">
      <c r="B492" s="111">
        <f t="shared" si="42"/>
        <v>243</v>
      </c>
      <c r="C492" s="227">
        <f>C486+6*(C496-C486)/10</f>
        <v>35.305</v>
      </c>
      <c r="D492" s="93">
        <f>D486+6*(D496-D486)/10</f>
        <v>0.00123558</v>
      </c>
      <c r="E492" s="96">
        <f t="shared" si="50"/>
        <v>0.05538602</v>
      </c>
      <c r="F492" s="228">
        <f>F486+6*(F496-F486)/10</f>
        <v>0.0566216</v>
      </c>
      <c r="G492" s="98">
        <f>G486+6*(G496-G486)/10</f>
        <v>1052</v>
      </c>
      <c r="H492" s="98">
        <f t="shared" si="51"/>
        <v>1749.8399999999997</v>
      </c>
      <c r="I492" s="98">
        <f>I486+6*(I496-I486)/10</f>
        <v>2801.8399999999997</v>
      </c>
      <c r="J492" s="225">
        <f t="shared" si="43"/>
        <v>243</v>
      </c>
      <c r="K492" s="19"/>
    </row>
    <row r="493" spans="2:11" ht="12.75">
      <c r="B493" s="111">
        <f t="shared" si="42"/>
        <v>243.5</v>
      </c>
      <c r="C493" s="227">
        <f>C486+7*(C496-C486)/10</f>
        <v>35.609500000000004</v>
      </c>
      <c r="D493" s="93">
        <f>D486+7*(D496-D486)/10</f>
        <v>0.0012366599999999999</v>
      </c>
      <c r="E493" s="96">
        <f t="shared" si="50"/>
        <v>0.05488104</v>
      </c>
      <c r="F493" s="228">
        <f>F486+7*(F496-F486)/10</f>
        <v>0.0561177</v>
      </c>
      <c r="G493" s="98">
        <f>G486+7*(G496-G486)/10</f>
        <v>1054.3999999999999</v>
      </c>
      <c r="H493" s="98">
        <f t="shared" si="51"/>
        <v>1747.3799999999999</v>
      </c>
      <c r="I493" s="98">
        <f>I486+7*(I496-I486)/10</f>
        <v>2801.7799999999997</v>
      </c>
      <c r="J493" s="225">
        <f t="shared" si="43"/>
        <v>243.5</v>
      </c>
      <c r="K493" s="19"/>
    </row>
    <row r="494" spans="2:11" ht="12.75">
      <c r="B494" s="111">
        <f t="shared" si="42"/>
        <v>244</v>
      </c>
      <c r="C494" s="227">
        <f>C486+8*(C496-C486)/10</f>
        <v>35.914</v>
      </c>
      <c r="D494" s="93">
        <f>D486+8*(D496-D486)/10</f>
        <v>0.00123774</v>
      </c>
      <c r="E494" s="96">
        <f t="shared" si="50"/>
        <v>0.05437606</v>
      </c>
      <c r="F494" s="228">
        <f>F486+8*(F496-F486)/10</f>
        <v>0.0556138</v>
      </c>
      <c r="G494" s="98">
        <f>G486+8*(G496-G486)/10</f>
        <v>1056.8</v>
      </c>
      <c r="H494" s="98">
        <f t="shared" si="51"/>
        <v>1744.9199999999998</v>
      </c>
      <c r="I494" s="98">
        <f>I486+8*(I496-I486)/10</f>
        <v>2801.72</v>
      </c>
      <c r="J494" s="225">
        <f t="shared" si="43"/>
        <v>244</v>
      </c>
      <c r="K494" s="19"/>
    </row>
    <row r="495" spans="2:11" ht="12.75">
      <c r="B495" s="111">
        <f t="shared" si="42"/>
        <v>244.5</v>
      </c>
      <c r="C495" s="227">
        <f>C486+9*(C496-C486)/10</f>
        <v>36.218500000000006</v>
      </c>
      <c r="D495" s="93">
        <f>D486+9*(D496-D486)/10</f>
        <v>0.0012388199999999999</v>
      </c>
      <c r="E495" s="96">
        <f t="shared" si="50"/>
        <v>0.05387108</v>
      </c>
      <c r="F495" s="228">
        <f>F486+9*(F496-F486)/10</f>
        <v>0.0551099</v>
      </c>
      <c r="G495" s="98">
        <f>G486+9*(G496-G486)/10</f>
        <v>1059.1999999999998</v>
      </c>
      <c r="H495" s="98">
        <f t="shared" si="51"/>
        <v>1742.46</v>
      </c>
      <c r="I495" s="98">
        <f>I486+9*(I496-I486)/10</f>
        <v>2801.66</v>
      </c>
      <c r="J495" s="225">
        <f t="shared" si="43"/>
        <v>244.5</v>
      </c>
      <c r="K495" s="19"/>
    </row>
    <row r="496" spans="2:11" ht="12.75">
      <c r="B496" s="111">
        <f t="shared" si="42"/>
        <v>245</v>
      </c>
      <c r="C496" s="227">
        <v>36.523</v>
      </c>
      <c r="D496" s="93">
        <v>0.0012399</v>
      </c>
      <c r="E496" s="180">
        <f>F496-D496</f>
        <v>0.0533661</v>
      </c>
      <c r="F496" s="180">
        <v>0.054606</v>
      </c>
      <c r="G496" s="180">
        <v>1061.6</v>
      </c>
      <c r="H496" s="180">
        <f>I496-G496</f>
        <v>1740</v>
      </c>
      <c r="I496" s="180">
        <v>2801.6</v>
      </c>
      <c r="J496" s="225">
        <f t="shared" si="43"/>
        <v>245</v>
      </c>
      <c r="K496" s="19"/>
    </row>
    <row r="497" spans="2:11" ht="12.75">
      <c r="B497" s="111">
        <f t="shared" si="42"/>
        <v>245.5</v>
      </c>
      <c r="C497" s="227">
        <f>C496+1*(C506-C496)/10</f>
        <v>36.8483</v>
      </c>
      <c r="D497" s="93">
        <f>D496+1*(D506-D496)/10</f>
        <v>0.00124104</v>
      </c>
      <c r="E497" s="96">
        <f aca="true" t="shared" si="52" ref="E497:E505">F497-D497</f>
        <v>0.05290806</v>
      </c>
      <c r="F497" s="228">
        <f>F496+1*(F506-F496)/10</f>
        <v>0.0541491</v>
      </c>
      <c r="G497" s="98">
        <f>G496+1*(G506-G496)/10</f>
        <v>1064.02</v>
      </c>
      <c r="H497" s="98">
        <f aca="true" t="shared" si="53" ref="H497:H505">I497-G497</f>
        <v>1737.46</v>
      </c>
      <c r="I497" s="98">
        <f>I496+1*(I506-I496)/10</f>
        <v>2801.48</v>
      </c>
      <c r="J497" s="225">
        <f t="shared" si="43"/>
        <v>245.5</v>
      </c>
      <c r="K497" s="19"/>
    </row>
    <row r="498" spans="2:11" ht="12.75">
      <c r="B498" s="111">
        <f t="shared" si="42"/>
        <v>246</v>
      </c>
      <c r="C498" s="227">
        <f>C496+2*(C506-C496)/10</f>
        <v>37.1736</v>
      </c>
      <c r="D498" s="93">
        <f>D496+2*(D506-D496)/10</f>
        <v>0.0012421799999999998</v>
      </c>
      <c r="E498" s="96">
        <f t="shared" si="52"/>
        <v>0.05245002</v>
      </c>
      <c r="F498" s="228">
        <f>F496+2*(F506-F496)/10</f>
        <v>0.0536922</v>
      </c>
      <c r="G498" s="98">
        <f>G496+2*(G506-G496)/10</f>
        <v>1066.4399999999998</v>
      </c>
      <c r="H498" s="98">
        <f t="shared" si="53"/>
        <v>1734.9200000000003</v>
      </c>
      <c r="I498" s="98">
        <f>I496+2*(I506-I496)/10</f>
        <v>2801.36</v>
      </c>
      <c r="J498" s="225">
        <f t="shared" si="43"/>
        <v>246</v>
      </c>
      <c r="K498" s="19"/>
    </row>
    <row r="499" spans="2:11" ht="12.75">
      <c r="B499" s="111">
        <f t="shared" si="42"/>
        <v>246.5</v>
      </c>
      <c r="C499" s="227">
        <f>C496+3*(C506-C496)/10</f>
        <v>37.498900000000006</v>
      </c>
      <c r="D499" s="93">
        <f>D496+3*(D506-D496)/10</f>
        <v>0.00124332</v>
      </c>
      <c r="E499" s="96">
        <f t="shared" si="52"/>
        <v>0.05199198</v>
      </c>
      <c r="F499" s="228">
        <f>F496+3*(F506-F496)/10</f>
        <v>0.0532353</v>
      </c>
      <c r="G499" s="98">
        <f>G496+3*(G506-G496)/10</f>
        <v>1068.86</v>
      </c>
      <c r="H499" s="98">
        <f t="shared" si="53"/>
        <v>1732.3799999999999</v>
      </c>
      <c r="I499" s="98">
        <f>I496+3*(I506-I496)/10</f>
        <v>2801.24</v>
      </c>
      <c r="J499" s="225">
        <f t="shared" si="43"/>
        <v>246.5</v>
      </c>
      <c r="K499" s="19"/>
    </row>
    <row r="500" spans="2:11" ht="12.75">
      <c r="B500" s="111">
        <f t="shared" si="42"/>
        <v>247</v>
      </c>
      <c r="C500" s="227">
        <f>C496+4*(C506-C496)/10</f>
        <v>37.824200000000005</v>
      </c>
      <c r="D500" s="93">
        <f>D496+4*(D506-D496)/10</f>
        <v>0.00124446</v>
      </c>
      <c r="E500" s="96">
        <f t="shared" si="52"/>
        <v>0.05153394</v>
      </c>
      <c r="F500" s="228">
        <f>F496+4*(F506-F496)/10</f>
        <v>0.0527784</v>
      </c>
      <c r="G500" s="98">
        <f>G496+4*(G506-G496)/10</f>
        <v>1071.28</v>
      </c>
      <c r="H500" s="98">
        <f t="shared" si="53"/>
        <v>1729.84</v>
      </c>
      <c r="I500" s="98">
        <f>I496+4*(I506-I496)/10</f>
        <v>2801.12</v>
      </c>
      <c r="J500" s="225">
        <f t="shared" si="43"/>
        <v>247</v>
      </c>
      <c r="K500" s="19"/>
    </row>
    <row r="501" spans="2:11" ht="12.75">
      <c r="B501" s="111">
        <f t="shared" si="42"/>
        <v>247.5</v>
      </c>
      <c r="C501" s="227">
        <f>C496+5*(C506-C496)/10</f>
        <v>38.1495</v>
      </c>
      <c r="D501" s="93">
        <f>D496+5*(D506-D496)/10</f>
        <v>0.0012456</v>
      </c>
      <c r="E501" s="96">
        <f t="shared" si="52"/>
        <v>0.0510759</v>
      </c>
      <c r="F501" s="228">
        <f>F496+5*(F506-F496)/10</f>
        <v>0.0523215</v>
      </c>
      <c r="G501" s="98">
        <f>G496+5*(G506-G496)/10</f>
        <v>1073.6999999999998</v>
      </c>
      <c r="H501" s="98">
        <f t="shared" si="53"/>
        <v>1727.3000000000002</v>
      </c>
      <c r="I501" s="98">
        <f>I496+5*(I506-I496)/10</f>
        <v>2801</v>
      </c>
      <c r="J501" s="225">
        <f t="shared" si="43"/>
        <v>247.5</v>
      </c>
      <c r="K501" s="19"/>
    </row>
    <row r="502" spans="2:11" ht="12.75">
      <c r="B502" s="111">
        <f t="shared" si="42"/>
        <v>248</v>
      </c>
      <c r="C502" s="227">
        <f>C496+6*(C506-C496)/10</f>
        <v>38.4748</v>
      </c>
      <c r="D502" s="93">
        <f>D496+6*(D506-D496)/10</f>
        <v>0.0012467399999999999</v>
      </c>
      <c r="E502" s="96">
        <f t="shared" si="52"/>
        <v>0.050617859999999994</v>
      </c>
      <c r="F502" s="228">
        <f>F496+6*(F506-F496)/10</f>
        <v>0.0518646</v>
      </c>
      <c r="G502" s="98">
        <f>G496+6*(G506-G496)/10</f>
        <v>1076.12</v>
      </c>
      <c r="H502" s="98">
        <f t="shared" si="53"/>
        <v>1724.7600000000002</v>
      </c>
      <c r="I502" s="98">
        <f>I496+6*(I506-I496)/10</f>
        <v>2800.88</v>
      </c>
      <c r="J502" s="225">
        <f t="shared" si="43"/>
        <v>248</v>
      </c>
      <c r="K502" s="19"/>
    </row>
    <row r="503" spans="2:11" ht="12.75">
      <c r="B503" s="111">
        <f t="shared" si="42"/>
        <v>248.5</v>
      </c>
      <c r="C503" s="227">
        <f>C496+7*(C506-C496)/10</f>
        <v>38.8001</v>
      </c>
      <c r="D503" s="93">
        <f>D496+7*(D506-D496)/10</f>
        <v>0.0012478799999999998</v>
      </c>
      <c r="E503" s="96">
        <f t="shared" si="52"/>
        <v>0.05015982</v>
      </c>
      <c r="F503" s="228">
        <f>F496+7*(F506-F496)/10</f>
        <v>0.0514077</v>
      </c>
      <c r="G503" s="98">
        <f>G496+7*(G506-G496)/10</f>
        <v>1078.54</v>
      </c>
      <c r="H503" s="98">
        <f t="shared" si="53"/>
        <v>1722.2200000000003</v>
      </c>
      <c r="I503" s="98">
        <f>I496+7*(I506-I496)/10</f>
        <v>2800.76</v>
      </c>
      <c r="J503" s="225">
        <f t="shared" si="43"/>
        <v>248.5</v>
      </c>
      <c r="K503" s="19"/>
    </row>
    <row r="504" spans="2:11" ht="12.75">
      <c r="B504" s="111">
        <f t="shared" si="42"/>
        <v>249</v>
      </c>
      <c r="C504" s="227">
        <f>C496+8*(C506-C496)/10</f>
        <v>39.125400000000006</v>
      </c>
      <c r="D504" s="93">
        <f>D496+8*(D506-D496)/10</f>
        <v>0.00124902</v>
      </c>
      <c r="E504" s="96">
        <f t="shared" si="52"/>
        <v>0.04970178</v>
      </c>
      <c r="F504" s="228">
        <f>F496+8*(F506-F496)/10</f>
        <v>0.0509508</v>
      </c>
      <c r="G504" s="98">
        <f>G496+8*(G506-G496)/10</f>
        <v>1080.96</v>
      </c>
      <c r="H504" s="98">
        <f t="shared" si="53"/>
        <v>1719.6799999999998</v>
      </c>
      <c r="I504" s="98">
        <f>I496+8*(I506-I496)/10</f>
        <v>2800.64</v>
      </c>
      <c r="J504" s="225">
        <f t="shared" si="43"/>
        <v>249</v>
      </c>
      <c r="K504" s="19"/>
    </row>
    <row r="505" spans="2:11" ht="12.75">
      <c r="B505" s="111">
        <f t="shared" si="42"/>
        <v>249.5</v>
      </c>
      <c r="C505" s="227">
        <f>C496+9*(C506-C496)/10</f>
        <v>39.450700000000005</v>
      </c>
      <c r="D505" s="93">
        <f>D496+9*(D506-D496)/10</f>
        <v>0.00125016</v>
      </c>
      <c r="E505" s="96">
        <f t="shared" si="52"/>
        <v>0.04924374</v>
      </c>
      <c r="F505" s="228">
        <f>F496+9*(F506-F496)/10</f>
        <v>0.0504939</v>
      </c>
      <c r="G505" s="98">
        <f>G496+9*(G506-G496)/10</f>
        <v>1083.3799999999999</v>
      </c>
      <c r="H505" s="98">
        <f t="shared" si="53"/>
        <v>1717.14</v>
      </c>
      <c r="I505" s="98">
        <f>I496+9*(I506-I496)/10</f>
        <v>2800.52</v>
      </c>
      <c r="J505" s="225">
        <f t="shared" si="43"/>
        <v>249.5</v>
      </c>
      <c r="K505" s="19"/>
    </row>
    <row r="506" spans="2:11" ht="12.75">
      <c r="B506" s="111">
        <f t="shared" si="42"/>
        <v>250</v>
      </c>
      <c r="C506" s="227">
        <v>39.776</v>
      </c>
      <c r="D506" s="93">
        <v>0.0012513</v>
      </c>
      <c r="E506" s="180">
        <f>F506-D506</f>
        <v>0.0487857</v>
      </c>
      <c r="F506" s="180">
        <v>0.050037</v>
      </c>
      <c r="G506" s="180">
        <v>1085.8</v>
      </c>
      <c r="H506" s="180">
        <f>I506-G506</f>
        <v>1714.6000000000001</v>
      </c>
      <c r="I506" s="180">
        <v>2800.4</v>
      </c>
      <c r="J506" s="225">
        <f t="shared" si="43"/>
        <v>250</v>
      </c>
      <c r="K506" s="19"/>
    </row>
    <row r="507" spans="2:11" ht="12.75">
      <c r="B507" s="111">
        <f t="shared" si="42"/>
        <v>250.5</v>
      </c>
      <c r="C507" s="227">
        <f>C506+1*(C516-C506)/10</f>
        <v>40.123000000000005</v>
      </c>
      <c r="D507" s="93">
        <f>D506+1*(D516-D506)/10</f>
        <v>0.00125249</v>
      </c>
      <c r="E507" s="96">
        <f aca="true" t="shared" si="54" ref="E507:E515">F507-D507</f>
        <v>0.048370409999999996</v>
      </c>
      <c r="F507" s="228">
        <f>F506+1*(F516-F506)/10</f>
        <v>0.0496229</v>
      </c>
      <c r="G507" s="98">
        <f>G506+1*(G516-G506)/10</f>
        <v>1088.24</v>
      </c>
      <c r="H507" s="98">
        <f aca="true" t="shared" si="55" ref="H507:H515">I507-G507</f>
        <v>1711.99</v>
      </c>
      <c r="I507" s="98">
        <f>I506+1*(I516-I506)/10</f>
        <v>2800.23</v>
      </c>
      <c r="J507" s="225">
        <f t="shared" si="43"/>
        <v>250.5</v>
      </c>
      <c r="K507" s="19"/>
    </row>
    <row r="508" spans="2:11" ht="12.75">
      <c r="B508" s="111">
        <f t="shared" si="42"/>
        <v>251</v>
      </c>
      <c r="C508" s="227">
        <f>C506+2*(C516-C506)/10</f>
        <v>40.470000000000006</v>
      </c>
      <c r="D508" s="93">
        <f>D506+2*(D516-D506)/10</f>
        <v>0.0012536799999999999</v>
      </c>
      <c r="E508" s="96">
        <f t="shared" si="54"/>
        <v>0.04795512</v>
      </c>
      <c r="F508" s="228">
        <f>F506+2*(F516-F506)/10</f>
        <v>0.0492088</v>
      </c>
      <c r="G508" s="98">
        <f>G506+2*(G516-G506)/10</f>
        <v>1090.68</v>
      </c>
      <c r="H508" s="98">
        <f t="shared" si="55"/>
        <v>1709.3799999999999</v>
      </c>
      <c r="I508" s="98">
        <f>I506+2*(I516-I506)/10</f>
        <v>2800.06</v>
      </c>
      <c r="J508" s="225">
        <f t="shared" si="43"/>
        <v>251</v>
      </c>
      <c r="K508" s="19"/>
    </row>
    <row r="509" spans="2:11" ht="12.75">
      <c r="B509" s="111">
        <f t="shared" si="42"/>
        <v>251.5</v>
      </c>
      <c r="C509" s="227">
        <f>C506+3*(C516-C506)/10</f>
        <v>40.817</v>
      </c>
      <c r="D509" s="93">
        <f>D506+3*(D516-D506)/10</f>
        <v>0.00125487</v>
      </c>
      <c r="E509" s="96">
        <f t="shared" si="54"/>
        <v>0.04753983</v>
      </c>
      <c r="F509" s="228">
        <f>F506+3*(F516-F506)/10</f>
        <v>0.048794699999999996</v>
      </c>
      <c r="G509" s="98">
        <f>G506+3*(G516-G506)/10</f>
        <v>1093.12</v>
      </c>
      <c r="H509" s="98">
        <f t="shared" si="55"/>
        <v>1706.77</v>
      </c>
      <c r="I509" s="98">
        <f>I506+3*(I516-I506)/10</f>
        <v>2799.89</v>
      </c>
      <c r="J509" s="225">
        <f t="shared" si="43"/>
        <v>251.5</v>
      </c>
      <c r="K509" s="19"/>
    </row>
    <row r="510" spans="2:11" ht="12.75">
      <c r="B510" s="111">
        <f t="shared" si="42"/>
        <v>252</v>
      </c>
      <c r="C510" s="227">
        <f>C506+4*(C516-C506)/10</f>
        <v>41.164</v>
      </c>
      <c r="D510" s="93">
        <f>D506+4*(D516-D506)/10</f>
        <v>0.0012560599999999998</v>
      </c>
      <c r="E510" s="96">
        <f t="shared" si="54"/>
        <v>0.04712453999999999</v>
      </c>
      <c r="F510" s="228">
        <f>F506+4*(F516-F506)/10</f>
        <v>0.048380599999999996</v>
      </c>
      <c r="G510" s="98">
        <f>G506+4*(G516-G506)/10</f>
        <v>1095.56</v>
      </c>
      <c r="H510" s="98">
        <f t="shared" si="55"/>
        <v>1704.1599999999999</v>
      </c>
      <c r="I510" s="98">
        <f>I506+4*(I516-I506)/10</f>
        <v>2799.72</v>
      </c>
      <c r="J510" s="225">
        <f t="shared" si="43"/>
        <v>252</v>
      </c>
      <c r="K510" s="19"/>
    </row>
    <row r="511" spans="2:11" ht="12.75">
      <c r="B511" s="111">
        <f t="shared" si="42"/>
        <v>252.5</v>
      </c>
      <c r="C511" s="227">
        <f>C506+5*(C516-C506)/10</f>
        <v>41.511</v>
      </c>
      <c r="D511" s="93">
        <f>D506+5*(D516-D506)/10</f>
        <v>0.00125725</v>
      </c>
      <c r="E511" s="96">
        <f t="shared" si="54"/>
        <v>0.046709249999999994</v>
      </c>
      <c r="F511" s="228">
        <f>F506+5*(F516-F506)/10</f>
        <v>0.047966499999999995</v>
      </c>
      <c r="G511" s="98">
        <f>G506+5*(G516-G506)/10</f>
        <v>1098</v>
      </c>
      <c r="H511" s="98">
        <f t="shared" si="55"/>
        <v>1701.5500000000002</v>
      </c>
      <c r="I511" s="98">
        <f>I506+5*(I516-I506)/10</f>
        <v>2799.55</v>
      </c>
      <c r="J511" s="225">
        <f t="shared" si="43"/>
        <v>252.5</v>
      </c>
      <c r="K511" s="19"/>
    </row>
    <row r="512" spans="2:11" ht="12.75">
      <c r="B512" s="111">
        <f t="shared" si="42"/>
        <v>253</v>
      </c>
      <c r="C512" s="227">
        <f>C506+6*(C516-C506)/10</f>
        <v>41.858000000000004</v>
      </c>
      <c r="D512" s="93">
        <f>D506+6*(D516-D506)/10</f>
        <v>0.00125844</v>
      </c>
      <c r="E512" s="96">
        <f t="shared" si="54"/>
        <v>0.04629396</v>
      </c>
      <c r="F512" s="228">
        <f>F506+6*(F516-F506)/10</f>
        <v>0.0475524</v>
      </c>
      <c r="G512" s="98">
        <f>G506+6*(G516-G506)/10</f>
        <v>1100.44</v>
      </c>
      <c r="H512" s="98">
        <f t="shared" si="55"/>
        <v>1698.94</v>
      </c>
      <c r="I512" s="98">
        <f>I506+6*(I516-I506)/10</f>
        <v>2799.38</v>
      </c>
      <c r="J512" s="225">
        <f t="shared" si="43"/>
        <v>253</v>
      </c>
      <c r="K512" s="19"/>
    </row>
    <row r="513" spans="2:11" ht="12.75">
      <c r="B513" s="111">
        <f t="shared" si="42"/>
        <v>253.5</v>
      </c>
      <c r="C513" s="227">
        <f>C506+7*(C516-C506)/10</f>
        <v>42.205000000000005</v>
      </c>
      <c r="D513" s="93">
        <f>D506+7*(D516-D506)/10</f>
        <v>0.0012596299999999999</v>
      </c>
      <c r="E513" s="96">
        <f t="shared" si="54"/>
        <v>0.04587867</v>
      </c>
      <c r="F513" s="228">
        <f>F506+7*(F516-F506)/10</f>
        <v>0.0471383</v>
      </c>
      <c r="G513" s="98">
        <f>G506+7*(G516-G506)/10</f>
        <v>1102.88</v>
      </c>
      <c r="H513" s="98">
        <f t="shared" si="55"/>
        <v>1696.33</v>
      </c>
      <c r="I513" s="98">
        <f>I506+7*(I516-I506)/10</f>
        <v>2799.21</v>
      </c>
      <c r="J513" s="225">
        <f t="shared" si="43"/>
        <v>253.5</v>
      </c>
      <c r="K513" s="19"/>
    </row>
    <row r="514" spans="2:11" ht="12.75">
      <c r="B514" s="111">
        <f t="shared" si="42"/>
        <v>254</v>
      </c>
      <c r="C514" s="227">
        <f>C506+8*(C516-C506)/10</f>
        <v>42.552</v>
      </c>
      <c r="D514" s="93">
        <f>D506+8*(D516-D506)/10</f>
        <v>0.00126082</v>
      </c>
      <c r="E514" s="96">
        <f t="shared" si="54"/>
        <v>0.04546338</v>
      </c>
      <c r="F514" s="228">
        <f>F506+8*(F516-F506)/10</f>
        <v>0.0467242</v>
      </c>
      <c r="G514" s="98">
        <f>G506+8*(G516-G506)/10</f>
        <v>1105.32</v>
      </c>
      <c r="H514" s="98">
        <f t="shared" si="55"/>
        <v>1693.72</v>
      </c>
      <c r="I514" s="98">
        <f>I506+8*(I516-I506)/10</f>
        <v>2799.04</v>
      </c>
      <c r="J514" s="225">
        <f t="shared" si="43"/>
        <v>254</v>
      </c>
      <c r="K514" s="19"/>
    </row>
    <row r="515" spans="2:11" ht="12.75">
      <c r="B515" s="111">
        <f t="shared" si="42"/>
        <v>254.5</v>
      </c>
      <c r="C515" s="227">
        <f>C506+9*(C516-C506)/10</f>
        <v>42.899</v>
      </c>
      <c r="D515" s="93">
        <f>D506+9*(D516-D506)/10</f>
        <v>0.0012620099999999998</v>
      </c>
      <c r="E515" s="96">
        <f t="shared" si="54"/>
        <v>0.04504809</v>
      </c>
      <c r="F515" s="228">
        <f>F506+9*(F516-F506)/10</f>
        <v>0.0463101</v>
      </c>
      <c r="G515" s="98">
        <f>G506+9*(G516-G506)/10</f>
        <v>1107.76</v>
      </c>
      <c r="H515" s="98">
        <f t="shared" si="55"/>
        <v>1691.11</v>
      </c>
      <c r="I515" s="98">
        <f>I506+9*(I516-I506)/10</f>
        <v>2798.87</v>
      </c>
      <c r="J515" s="225">
        <f t="shared" si="43"/>
        <v>254.5</v>
      </c>
      <c r="K515" s="19"/>
    </row>
    <row r="516" spans="2:11" ht="12.75">
      <c r="B516" s="111">
        <f t="shared" si="42"/>
        <v>255</v>
      </c>
      <c r="C516" s="227">
        <v>43.246</v>
      </c>
      <c r="D516" s="93">
        <v>0.0012632</v>
      </c>
      <c r="E516" s="180">
        <f>F516-D516</f>
        <v>0.0446328</v>
      </c>
      <c r="F516" s="180">
        <v>0.045896</v>
      </c>
      <c r="G516" s="180">
        <v>1110.2</v>
      </c>
      <c r="H516" s="180">
        <f>I516-G516</f>
        <v>1688.4999999999998</v>
      </c>
      <c r="I516" s="180">
        <v>2798.7</v>
      </c>
      <c r="J516" s="225">
        <f t="shared" si="43"/>
        <v>255</v>
      </c>
      <c r="K516" s="19"/>
    </row>
    <row r="517" spans="2:11" ht="12.75">
      <c r="B517" s="111">
        <f t="shared" si="42"/>
        <v>255.5</v>
      </c>
      <c r="C517" s="227">
        <f>C516+1*(C526-C516)/10</f>
        <v>43.615700000000004</v>
      </c>
      <c r="D517" s="93">
        <f>D516+1*(D526-D516)/10</f>
        <v>0.00126444</v>
      </c>
      <c r="E517" s="96">
        <f aca="true" t="shared" si="56" ref="E517:E525">F517-D517</f>
        <v>0.04425496</v>
      </c>
      <c r="F517" s="228">
        <f>F516+1*(F526-F516)/10</f>
        <v>0.0455194</v>
      </c>
      <c r="G517" s="98">
        <f>G516+1*(G526-G516)/10</f>
        <v>1112.67</v>
      </c>
      <c r="H517" s="98">
        <f aca="true" t="shared" si="57" ref="H517:H525">I517-G517</f>
        <v>1685.7999999999997</v>
      </c>
      <c r="I517" s="98">
        <f>I516+1*(I526-I516)/10</f>
        <v>2798.47</v>
      </c>
      <c r="J517" s="225">
        <f t="shared" si="43"/>
        <v>255.5</v>
      </c>
      <c r="K517" s="19"/>
    </row>
    <row r="518" spans="2:11" ht="12.75">
      <c r="B518" s="111">
        <f t="shared" si="42"/>
        <v>256</v>
      </c>
      <c r="C518" s="227">
        <f>C516+2*(C526-C516)/10</f>
        <v>43.9854</v>
      </c>
      <c r="D518" s="93">
        <f>D516+2*(D526-D516)/10</f>
        <v>0.00126568</v>
      </c>
      <c r="E518" s="96">
        <f t="shared" si="56"/>
        <v>0.04387712</v>
      </c>
      <c r="F518" s="228">
        <f>F516+2*(F526-F516)/10</f>
        <v>0.0451428</v>
      </c>
      <c r="G518" s="98">
        <f>G516+2*(G526-G516)/10</f>
        <v>1115.14</v>
      </c>
      <c r="H518" s="98">
        <f t="shared" si="57"/>
        <v>1683.0999999999997</v>
      </c>
      <c r="I518" s="98">
        <f>I516+2*(I526-I516)/10</f>
        <v>2798.24</v>
      </c>
      <c r="J518" s="225">
        <f t="shared" si="43"/>
        <v>256</v>
      </c>
      <c r="K518" s="19"/>
    </row>
    <row r="519" spans="2:11" ht="12.75">
      <c r="B519" s="111">
        <f t="shared" si="42"/>
        <v>256.5</v>
      </c>
      <c r="C519" s="227">
        <f>C516+3*(C526-C516)/10</f>
        <v>44.3551</v>
      </c>
      <c r="D519" s="93">
        <f>D516+3*(D526-D516)/10</f>
        <v>0.00126692</v>
      </c>
      <c r="E519" s="96">
        <f t="shared" si="56"/>
        <v>0.04349928</v>
      </c>
      <c r="F519" s="228">
        <f>F516+3*(F526-F516)/10</f>
        <v>0.0447662</v>
      </c>
      <c r="G519" s="98">
        <f>G516+3*(G526-G516)/10</f>
        <v>1117.6100000000001</v>
      </c>
      <c r="H519" s="98">
        <f t="shared" si="57"/>
        <v>1680.3999999999996</v>
      </c>
      <c r="I519" s="98">
        <f>I516+3*(I526-I516)/10</f>
        <v>2798.0099999999998</v>
      </c>
      <c r="J519" s="225">
        <f t="shared" si="43"/>
        <v>256.5</v>
      </c>
      <c r="K519" s="19"/>
    </row>
    <row r="520" spans="2:11" ht="12.75">
      <c r="B520" s="111">
        <f aca="true" t="shared" si="58" ref="B520:B583">B519+0.5</f>
        <v>257</v>
      </c>
      <c r="C520" s="227">
        <f>C516+4*(C526-C516)/10</f>
        <v>44.7248</v>
      </c>
      <c r="D520" s="93">
        <f>D516+4*(D526-D516)/10</f>
        <v>0.00126816</v>
      </c>
      <c r="E520" s="96">
        <f t="shared" si="56"/>
        <v>0.043121440000000004</v>
      </c>
      <c r="F520" s="228">
        <f>F516+4*(F526-F516)/10</f>
        <v>0.0443896</v>
      </c>
      <c r="G520" s="98">
        <f>G516+4*(G526-G516)/10</f>
        <v>1120.0800000000002</v>
      </c>
      <c r="H520" s="98">
        <f t="shared" si="57"/>
        <v>1677.6999999999996</v>
      </c>
      <c r="I520" s="98">
        <f>I516+4*(I526-I516)/10</f>
        <v>2797.7799999999997</v>
      </c>
      <c r="J520" s="225">
        <f aca="true" t="shared" si="59" ref="J520:J583">J519+0.5</f>
        <v>257</v>
      </c>
      <c r="K520" s="19"/>
    </row>
    <row r="521" spans="2:11" ht="12.75">
      <c r="B521" s="111">
        <f t="shared" si="58"/>
        <v>257.5</v>
      </c>
      <c r="C521" s="227">
        <f>C516+5*(C526-C516)/10</f>
        <v>45.0945</v>
      </c>
      <c r="D521" s="93">
        <f>D516+5*(D526-D516)/10</f>
        <v>0.0012694</v>
      </c>
      <c r="E521" s="96">
        <f t="shared" si="56"/>
        <v>0.0427436</v>
      </c>
      <c r="F521" s="228">
        <f>F516+5*(F526-F516)/10</f>
        <v>0.044013</v>
      </c>
      <c r="G521" s="98">
        <f>G516+5*(G526-G516)/10</f>
        <v>1122.5500000000002</v>
      </c>
      <c r="H521" s="98">
        <f t="shared" si="57"/>
        <v>1675</v>
      </c>
      <c r="I521" s="98">
        <f>I516+5*(I526-I516)/10</f>
        <v>2797.55</v>
      </c>
      <c r="J521" s="225">
        <f t="shared" si="59"/>
        <v>257.5</v>
      </c>
      <c r="K521" s="19"/>
    </row>
    <row r="522" spans="2:11" ht="12.75">
      <c r="B522" s="111">
        <f t="shared" si="58"/>
        <v>258</v>
      </c>
      <c r="C522" s="227">
        <f>C516+6*(C526-C516)/10</f>
        <v>45.4642</v>
      </c>
      <c r="D522" s="93">
        <f>D516+6*(D526-D516)/10</f>
        <v>0.00127064</v>
      </c>
      <c r="E522" s="96">
        <f t="shared" si="56"/>
        <v>0.04236576</v>
      </c>
      <c r="F522" s="228">
        <f>F516+6*(F526-F516)/10</f>
        <v>0.0436364</v>
      </c>
      <c r="G522" s="98">
        <f>G516+6*(G526-G516)/10</f>
        <v>1125.02</v>
      </c>
      <c r="H522" s="98">
        <f t="shared" si="57"/>
        <v>1672.3000000000002</v>
      </c>
      <c r="I522" s="98">
        <f>I516+6*(I526-I516)/10</f>
        <v>2797.32</v>
      </c>
      <c r="J522" s="225">
        <f t="shared" si="59"/>
        <v>258</v>
      </c>
      <c r="K522" s="19"/>
    </row>
    <row r="523" spans="2:11" ht="12.75">
      <c r="B523" s="111">
        <f t="shared" si="58"/>
        <v>258.5</v>
      </c>
      <c r="C523" s="227">
        <f>C516+7*(C526-C516)/10</f>
        <v>45.8339</v>
      </c>
      <c r="D523" s="93">
        <f>D516+7*(D526-D516)/10</f>
        <v>0.00127188</v>
      </c>
      <c r="E523" s="96">
        <f t="shared" si="56"/>
        <v>0.04198792</v>
      </c>
      <c r="F523" s="228">
        <f>F516+7*(F526-F516)/10</f>
        <v>0.0432598</v>
      </c>
      <c r="G523" s="98">
        <f>G516+7*(G526-G516)/10</f>
        <v>1127.49</v>
      </c>
      <c r="H523" s="98">
        <f t="shared" si="57"/>
        <v>1669.6000000000001</v>
      </c>
      <c r="I523" s="98">
        <f>I516+7*(I526-I516)/10</f>
        <v>2797.09</v>
      </c>
      <c r="J523" s="225">
        <f t="shared" si="59"/>
        <v>258.5</v>
      </c>
      <c r="K523" s="19"/>
    </row>
    <row r="524" spans="2:11" ht="12.75">
      <c r="B524" s="111">
        <f t="shared" si="58"/>
        <v>259</v>
      </c>
      <c r="C524" s="227">
        <f>C516+8*(C526-C516)/10</f>
        <v>46.2036</v>
      </c>
      <c r="D524" s="93">
        <f>D516+8*(D526-D516)/10</f>
        <v>0.00127312</v>
      </c>
      <c r="E524" s="96">
        <f t="shared" si="56"/>
        <v>0.04161008</v>
      </c>
      <c r="F524" s="228">
        <f>F516+8*(F526-F516)/10</f>
        <v>0.0428832</v>
      </c>
      <c r="G524" s="98">
        <f>G516+8*(G526-G516)/10</f>
        <v>1129.96</v>
      </c>
      <c r="H524" s="98">
        <f t="shared" si="57"/>
        <v>1666.9</v>
      </c>
      <c r="I524" s="98">
        <f>I516+8*(I526-I516)/10</f>
        <v>2796.86</v>
      </c>
      <c r="J524" s="225">
        <f t="shared" si="59"/>
        <v>259</v>
      </c>
      <c r="K524" s="19"/>
    </row>
    <row r="525" spans="2:11" ht="12.75">
      <c r="B525" s="111">
        <f t="shared" si="58"/>
        <v>259.5</v>
      </c>
      <c r="C525" s="227">
        <f>C516+9*(C526-C516)/10</f>
        <v>46.573299999999996</v>
      </c>
      <c r="D525" s="93">
        <f>D516+9*(D526-D516)/10</f>
        <v>0.00127436</v>
      </c>
      <c r="E525" s="96">
        <f t="shared" si="56"/>
        <v>0.041232239999999996</v>
      </c>
      <c r="F525" s="228">
        <f>F516+9*(F526-F516)/10</f>
        <v>0.0425066</v>
      </c>
      <c r="G525" s="98">
        <f>G516+9*(G526-G516)/10</f>
        <v>1132.43</v>
      </c>
      <c r="H525" s="98">
        <f t="shared" si="57"/>
        <v>1664.2</v>
      </c>
      <c r="I525" s="98">
        <f>I516+9*(I526-I516)/10</f>
        <v>2796.63</v>
      </c>
      <c r="J525" s="225">
        <f t="shared" si="59"/>
        <v>259.5</v>
      </c>
      <c r="K525" s="19"/>
    </row>
    <row r="526" spans="2:11" ht="12.75">
      <c r="B526" s="111">
        <f t="shared" si="58"/>
        <v>260</v>
      </c>
      <c r="C526" s="227">
        <v>46.943</v>
      </c>
      <c r="D526" s="93">
        <v>0.0012756</v>
      </c>
      <c r="E526" s="180">
        <f>F526-D526</f>
        <v>0.0408544</v>
      </c>
      <c r="F526" s="180">
        <v>0.04213</v>
      </c>
      <c r="G526" s="180">
        <v>1134.9</v>
      </c>
      <c r="H526" s="180">
        <f>I526-G526</f>
        <v>1661.5</v>
      </c>
      <c r="I526" s="180">
        <v>2796.4</v>
      </c>
      <c r="J526" s="225">
        <f t="shared" si="59"/>
        <v>260</v>
      </c>
      <c r="K526" s="19"/>
    </row>
    <row r="527" spans="2:11" ht="12.75">
      <c r="B527" s="111">
        <f t="shared" si="58"/>
        <v>260.5</v>
      </c>
      <c r="C527" s="227">
        <f>C526+1*(C536-C526)/10</f>
        <v>47.3364</v>
      </c>
      <c r="D527" s="93">
        <f>D526+1*(D536-D526)/10</f>
        <v>0.00127691</v>
      </c>
      <c r="E527" s="96">
        <f aca="true" t="shared" si="60" ref="E527:E535">F527-D527</f>
        <v>0.04051109</v>
      </c>
      <c r="F527" s="228">
        <f>F526+1*(F536-F526)/10</f>
        <v>0.041788</v>
      </c>
      <c r="G527" s="98">
        <f>G526+1*(G536-G526)/10</f>
        <v>1137.4</v>
      </c>
      <c r="H527" s="98">
        <f aca="true" t="shared" si="61" ref="H527:H535">I527-G527</f>
        <v>1658.71</v>
      </c>
      <c r="I527" s="98">
        <f>I526+1*(I536-I526)/10</f>
        <v>2796.11</v>
      </c>
      <c r="J527" s="225">
        <f t="shared" si="59"/>
        <v>260.5</v>
      </c>
      <c r="K527" s="19"/>
    </row>
    <row r="528" spans="2:11" ht="12.75">
      <c r="B528" s="111">
        <f t="shared" si="58"/>
        <v>261</v>
      </c>
      <c r="C528" s="227">
        <f>C526+2*(C536-C526)/10</f>
        <v>47.7298</v>
      </c>
      <c r="D528" s="93">
        <f>D526+2*(D536-D526)/10</f>
        <v>0.00127822</v>
      </c>
      <c r="E528" s="96">
        <f t="shared" si="60"/>
        <v>0.04016778</v>
      </c>
      <c r="F528" s="228">
        <f>F526+2*(F536-F526)/10</f>
        <v>0.041446000000000004</v>
      </c>
      <c r="G528" s="98">
        <f>G526+2*(G536-G526)/10</f>
        <v>1139.9</v>
      </c>
      <c r="H528" s="98">
        <f t="shared" si="61"/>
        <v>1655.92</v>
      </c>
      <c r="I528" s="98">
        <f>I526+2*(I536-I526)/10</f>
        <v>2795.82</v>
      </c>
      <c r="J528" s="225">
        <f t="shared" si="59"/>
        <v>261</v>
      </c>
      <c r="K528" s="19"/>
    </row>
    <row r="529" spans="2:11" ht="12.75">
      <c r="B529" s="111">
        <f t="shared" si="58"/>
        <v>261.5</v>
      </c>
      <c r="C529" s="227">
        <f>C526+3*(C536-C526)/10</f>
        <v>48.1232</v>
      </c>
      <c r="D529" s="93">
        <f>D526+3*(D536-D526)/10</f>
        <v>0.00127953</v>
      </c>
      <c r="E529" s="96">
        <f t="shared" si="60"/>
        <v>0.03982447</v>
      </c>
      <c r="F529" s="228">
        <f>F526+3*(F536-F526)/10</f>
        <v>0.041104</v>
      </c>
      <c r="G529" s="98">
        <f>G526+3*(G536-G526)/10</f>
        <v>1142.4</v>
      </c>
      <c r="H529" s="98">
        <f t="shared" si="61"/>
        <v>1653.13</v>
      </c>
      <c r="I529" s="98">
        <f>I526+3*(I536-I526)/10</f>
        <v>2795.53</v>
      </c>
      <c r="J529" s="225">
        <f t="shared" si="59"/>
        <v>261.5</v>
      </c>
      <c r="K529" s="19"/>
    </row>
    <row r="530" spans="2:11" ht="12.75">
      <c r="B530" s="111">
        <f t="shared" si="58"/>
        <v>262</v>
      </c>
      <c r="C530" s="227">
        <f>C526+4*(C536-C526)/10</f>
        <v>48.5166</v>
      </c>
      <c r="D530" s="93">
        <f>D526+4*(D536-D526)/10</f>
        <v>0.00128084</v>
      </c>
      <c r="E530" s="96">
        <f t="shared" si="60"/>
        <v>0.03948116</v>
      </c>
      <c r="F530" s="228">
        <f>F526+4*(F536-F526)/10</f>
        <v>0.040762</v>
      </c>
      <c r="G530" s="98">
        <f>G526+4*(G536-G526)/10</f>
        <v>1144.9</v>
      </c>
      <c r="H530" s="98">
        <f t="shared" si="61"/>
        <v>1650.3400000000001</v>
      </c>
      <c r="I530" s="98">
        <f>I526+4*(I536-I526)/10</f>
        <v>2795.2400000000002</v>
      </c>
      <c r="J530" s="225">
        <f t="shared" si="59"/>
        <v>262</v>
      </c>
      <c r="K530" s="19"/>
    </row>
    <row r="531" spans="2:11" ht="12.75">
      <c r="B531" s="111">
        <f t="shared" si="58"/>
        <v>262.5</v>
      </c>
      <c r="C531" s="227">
        <f>C526+5*(C536-C526)/10</f>
        <v>48.91</v>
      </c>
      <c r="D531" s="93">
        <f>D526+5*(D536-D526)/10</f>
        <v>0.0012821500000000001</v>
      </c>
      <c r="E531" s="96">
        <f t="shared" si="60"/>
        <v>0.039137849999999995</v>
      </c>
      <c r="F531" s="228">
        <f>F526+5*(F536-F526)/10</f>
        <v>0.04042</v>
      </c>
      <c r="G531" s="98">
        <f>G526+5*(G536-G526)/10</f>
        <v>1147.4</v>
      </c>
      <c r="H531" s="98">
        <f t="shared" si="61"/>
        <v>1647.5499999999997</v>
      </c>
      <c r="I531" s="98">
        <f>I526+5*(I536-I526)/10</f>
        <v>2794.95</v>
      </c>
      <c r="J531" s="225">
        <f t="shared" si="59"/>
        <v>262.5</v>
      </c>
      <c r="K531" s="19"/>
    </row>
    <row r="532" spans="2:11" ht="12.75">
      <c r="B532" s="111">
        <f t="shared" si="58"/>
        <v>263</v>
      </c>
      <c r="C532" s="227">
        <f>C526+6*(C536-C526)/10</f>
        <v>49.3034</v>
      </c>
      <c r="D532" s="93">
        <f>D526+6*(D536-D526)/10</f>
        <v>0.00128346</v>
      </c>
      <c r="E532" s="96">
        <f t="shared" si="60"/>
        <v>0.03879454</v>
      </c>
      <c r="F532" s="228">
        <f>F526+6*(F536-F526)/10</f>
        <v>0.040078</v>
      </c>
      <c r="G532" s="98">
        <f>G526+6*(G536-G526)/10</f>
        <v>1149.9</v>
      </c>
      <c r="H532" s="98">
        <f t="shared" si="61"/>
        <v>1644.7599999999998</v>
      </c>
      <c r="I532" s="98">
        <f>I526+6*(I536-I526)/10</f>
        <v>2794.66</v>
      </c>
      <c r="J532" s="225">
        <f t="shared" si="59"/>
        <v>263</v>
      </c>
      <c r="K532" s="19"/>
    </row>
    <row r="533" spans="2:11" ht="12.75">
      <c r="B533" s="111">
        <f t="shared" si="58"/>
        <v>263.5</v>
      </c>
      <c r="C533" s="227">
        <f>C526+7*(C536-C526)/10</f>
        <v>49.6968</v>
      </c>
      <c r="D533" s="93">
        <f>D526+7*(D536-D526)/10</f>
        <v>0.00128477</v>
      </c>
      <c r="E533" s="96">
        <f t="shared" si="60"/>
        <v>0.03845123</v>
      </c>
      <c r="F533" s="228">
        <f>F526+7*(F536-F526)/10</f>
        <v>0.039736</v>
      </c>
      <c r="G533" s="98">
        <f>G526+7*(G536-G526)/10</f>
        <v>1152.4</v>
      </c>
      <c r="H533" s="98">
        <f t="shared" si="61"/>
        <v>1641.9699999999998</v>
      </c>
      <c r="I533" s="98">
        <f>I526+7*(I536-I526)/10</f>
        <v>2794.37</v>
      </c>
      <c r="J533" s="225">
        <f t="shared" si="59"/>
        <v>263.5</v>
      </c>
      <c r="K533" s="19"/>
    </row>
    <row r="534" spans="2:11" ht="12.75">
      <c r="B534" s="111">
        <f t="shared" si="58"/>
        <v>264</v>
      </c>
      <c r="C534" s="227">
        <f>C526+8*(C536-C526)/10</f>
        <v>50.0902</v>
      </c>
      <c r="D534" s="93">
        <f>D526+8*(D536-D526)/10</f>
        <v>0.00128608</v>
      </c>
      <c r="E534" s="96">
        <f t="shared" si="60"/>
        <v>0.038107919999999997</v>
      </c>
      <c r="F534" s="228">
        <f>F526+8*(F536-F526)/10</f>
        <v>0.039394</v>
      </c>
      <c r="G534" s="98">
        <f>G526+8*(G536-G526)/10</f>
        <v>1154.9</v>
      </c>
      <c r="H534" s="98">
        <f t="shared" si="61"/>
        <v>1639.1799999999998</v>
      </c>
      <c r="I534" s="98">
        <f>I526+8*(I536-I526)/10</f>
        <v>2794.08</v>
      </c>
      <c r="J534" s="225">
        <f t="shared" si="59"/>
        <v>264</v>
      </c>
      <c r="K534" s="19"/>
    </row>
    <row r="535" spans="2:11" ht="12.75">
      <c r="B535" s="111">
        <f t="shared" si="58"/>
        <v>264.5</v>
      </c>
      <c r="C535" s="227">
        <f>C526+9*(C536-C526)/10</f>
        <v>50.4836</v>
      </c>
      <c r="D535" s="93">
        <f>D526+9*(D536-D526)/10</f>
        <v>0.00128739</v>
      </c>
      <c r="E535" s="96">
        <f t="shared" si="60"/>
        <v>0.037764610000000004</v>
      </c>
      <c r="F535" s="228">
        <f>F526+9*(F536-F526)/10</f>
        <v>0.039052</v>
      </c>
      <c r="G535" s="98">
        <f>G526+9*(G536-G526)/10</f>
        <v>1157.4</v>
      </c>
      <c r="H535" s="98">
        <f t="shared" si="61"/>
        <v>1636.3899999999999</v>
      </c>
      <c r="I535" s="98">
        <f>I526+9*(I536-I526)/10</f>
        <v>2793.79</v>
      </c>
      <c r="J535" s="225">
        <f t="shared" si="59"/>
        <v>264.5</v>
      </c>
      <c r="K535" s="19"/>
    </row>
    <row r="536" spans="2:11" ht="12.75">
      <c r="B536" s="111">
        <f t="shared" si="58"/>
        <v>265</v>
      </c>
      <c r="C536" s="227">
        <v>50.877</v>
      </c>
      <c r="D536" s="93">
        <v>0.0012887</v>
      </c>
      <c r="E536" s="180">
        <f>F536-D536</f>
        <v>0.037421300000000005</v>
      </c>
      <c r="F536" s="180">
        <v>0.03871</v>
      </c>
      <c r="G536" s="180">
        <v>1159.9</v>
      </c>
      <c r="H536" s="180">
        <f>I536-G536</f>
        <v>1633.6</v>
      </c>
      <c r="I536" s="180">
        <v>2793.5</v>
      </c>
      <c r="J536" s="225">
        <f t="shared" si="59"/>
        <v>265</v>
      </c>
      <c r="K536" s="19"/>
    </row>
    <row r="537" spans="2:11" ht="12.75">
      <c r="B537" s="111">
        <f t="shared" si="58"/>
        <v>265.5</v>
      </c>
      <c r="C537" s="227">
        <f>C536+1*(C546-C536)/10</f>
        <v>51.295100000000005</v>
      </c>
      <c r="D537" s="93">
        <f>D536+1*(D546-D536)/10</f>
        <v>0.00129008</v>
      </c>
      <c r="E537" s="96">
        <f aca="true" t="shared" si="62" ref="E537:E545">F537-D537</f>
        <v>0.037107720000000004</v>
      </c>
      <c r="F537" s="228">
        <f>F536+1*(F546-F536)/10</f>
        <v>0.0383978</v>
      </c>
      <c r="G537" s="98">
        <f>G536+1*(G546-G536)/10</f>
        <v>1162.43</v>
      </c>
      <c r="H537" s="98">
        <f aca="true" t="shared" si="63" ref="H537:H545">I537-G537</f>
        <v>1630.7099999999998</v>
      </c>
      <c r="I537" s="98">
        <f>I536+1*(I546-I536)/10</f>
        <v>2793.14</v>
      </c>
      <c r="J537" s="225">
        <f t="shared" si="59"/>
        <v>265.5</v>
      </c>
      <c r="K537" s="19"/>
    </row>
    <row r="538" spans="2:11" ht="12.75">
      <c r="B538" s="111">
        <f t="shared" si="58"/>
        <v>266</v>
      </c>
      <c r="C538" s="227">
        <f>C536+2*(C546-C536)/10</f>
        <v>51.7132</v>
      </c>
      <c r="D538" s="93">
        <f>D536+2*(D546-D536)/10</f>
        <v>0.0012914600000000001</v>
      </c>
      <c r="E538" s="96">
        <f t="shared" si="62"/>
        <v>0.03679414</v>
      </c>
      <c r="F538" s="228">
        <f>F536+2*(F546-F536)/10</f>
        <v>0.038085600000000004</v>
      </c>
      <c r="G538" s="98">
        <f>G536+2*(G546-G536)/10</f>
        <v>1164.96</v>
      </c>
      <c r="H538" s="98">
        <f t="shared" si="63"/>
        <v>1627.8200000000002</v>
      </c>
      <c r="I538" s="98">
        <f>I536+2*(I546-I536)/10</f>
        <v>2792.78</v>
      </c>
      <c r="J538" s="225">
        <f t="shared" si="59"/>
        <v>266</v>
      </c>
      <c r="K538" s="19"/>
    </row>
    <row r="539" spans="2:11" ht="12.75">
      <c r="B539" s="111">
        <f t="shared" si="58"/>
        <v>266.5</v>
      </c>
      <c r="C539" s="227">
        <f>C536+3*(C546-C536)/10</f>
        <v>52.1313</v>
      </c>
      <c r="D539" s="93">
        <f>D536+3*(D546-D536)/10</f>
        <v>0.00129284</v>
      </c>
      <c r="E539" s="96">
        <f t="shared" si="62"/>
        <v>0.036480559999999995</v>
      </c>
      <c r="F539" s="228">
        <f>F536+3*(F546-F536)/10</f>
        <v>0.0377734</v>
      </c>
      <c r="G539" s="98">
        <f>G536+3*(G546-G536)/10</f>
        <v>1167.49</v>
      </c>
      <c r="H539" s="98">
        <f t="shared" si="63"/>
        <v>1624.93</v>
      </c>
      <c r="I539" s="98">
        <f>I536+3*(I546-I536)/10</f>
        <v>2792.42</v>
      </c>
      <c r="J539" s="225">
        <f t="shared" si="59"/>
        <v>266.5</v>
      </c>
      <c r="K539" s="19"/>
    </row>
    <row r="540" spans="2:11" ht="12.75">
      <c r="B540" s="111">
        <f t="shared" si="58"/>
        <v>267</v>
      </c>
      <c r="C540" s="227">
        <f>C536+4*(C546-C536)/10</f>
        <v>52.5494</v>
      </c>
      <c r="D540" s="93">
        <f>D536+4*(D546-D536)/10</f>
        <v>0.00129422</v>
      </c>
      <c r="E540" s="96">
        <f t="shared" si="62"/>
        <v>0.03616698</v>
      </c>
      <c r="F540" s="228">
        <f>F536+4*(F546-F536)/10</f>
        <v>0.0374612</v>
      </c>
      <c r="G540" s="98">
        <f>G536+4*(G546-G536)/10</f>
        <v>1170.02</v>
      </c>
      <c r="H540" s="98">
        <f t="shared" si="63"/>
        <v>1622.04</v>
      </c>
      <c r="I540" s="98">
        <f>I536+4*(I546-I536)/10</f>
        <v>2792.06</v>
      </c>
      <c r="J540" s="225">
        <f t="shared" si="59"/>
        <v>267</v>
      </c>
      <c r="K540" s="19"/>
    </row>
    <row r="541" spans="2:11" ht="12.75">
      <c r="B541" s="111">
        <f t="shared" si="58"/>
        <v>267.5</v>
      </c>
      <c r="C541" s="227">
        <f>C536+5*(C546-C536)/10</f>
        <v>52.9675</v>
      </c>
      <c r="D541" s="93">
        <f>D536+5*(D546-D536)/10</f>
        <v>0.0012956</v>
      </c>
      <c r="E541" s="96">
        <f t="shared" si="62"/>
        <v>0.0358534</v>
      </c>
      <c r="F541" s="228">
        <f>F536+5*(F546-F536)/10</f>
        <v>0.037149</v>
      </c>
      <c r="G541" s="98">
        <f>G536+5*(G546-G536)/10</f>
        <v>1172.5500000000002</v>
      </c>
      <c r="H541" s="98">
        <f t="shared" si="63"/>
        <v>1619.1499999999996</v>
      </c>
      <c r="I541" s="98">
        <f>I536+5*(I546-I536)/10</f>
        <v>2791.7</v>
      </c>
      <c r="J541" s="225">
        <f t="shared" si="59"/>
        <v>267.5</v>
      </c>
      <c r="K541" s="19"/>
    </row>
    <row r="542" spans="2:11" ht="12.75">
      <c r="B542" s="111">
        <f t="shared" si="58"/>
        <v>268</v>
      </c>
      <c r="C542" s="227">
        <f>C536+6*(C546-C536)/10</f>
        <v>53.385600000000004</v>
      </c>
      <c r="D542" s="93">
        <f>D536+6*(D546-D536)/10</f>
        <v>0.00129698</v>
      </c>
      <c r="E542" s="96">
        <f t="shared" si="62"/>
        <v>0.03553982</v>
      </c>
      <c r="F542" s="228">
        <f>F536+6*(F546-F536)/10</f>
        <v>0.0368368</v>
      </c>
      <c r="G542" s="98">
        <f>G536+6*(G546-G536)/10</f>
        <v>1175.0800000000002</v>
      </c>
      <c r="H542" s="98">
        <f t="shared" si="63"/>
        <v>1616.26</v>
      </c>
      <c r="I542" s="98">
        <f>I536+6*(I546-I536)/10</f>
        <v>2791.34</v>
      </c>
      <c r="J542" s="225">
        <f t="shared" si="59"/>
        <v>268</v>
      </c>
      <c r="K542" s="19"/>
    </row>
    <row r="543" spans="2:11" ht="12.75">
      <c r="B543" s="111">
        <f t="shared" si="58"/>
        <v>268.5</v>
      </c>
      <c r="C543" s="227">
        <f>C536+7*(C546-C536)/10</f>
        <v>53.8037</v>
      </c>
      <c r="D543" s="93">
        <f>D536+7*(D546-D536)/10</f>
        <v>0.0012983600000000001</v>
      </c>
      <c r="E543" s="96">
        <f t="shared" si="62"/>
        <v>0.035226240000000006</v>
      </c>
      <c r="F543" s="228">
        <f>F536+7*(F546-F536)/10</f>
        <v>0.036524600000000004</v>
      </c>
      <c r="G543" s="98">
        <f>G536+7*(G546-G536)/10</f>
        <v>1177.6100000000001</v>
      </c>
      <c r="H543" s="98">
        <f t="shared" si="63"/>
        <v>1613.37</v>
      </c>
      <c r="I543" s="98">
        <f>I536+7*(I546-I536)/10</f>
        <v>2790.98</v>
      </c>
      <c r="J543" s="225">
        <f t="shared" si="59"/>
        <v>268.5</v>
      </c>
      <c r="K543" s="19"/>
    </row>
    <row r="544" spans="2:11" ht="12.75">
      <c r="B544" s="111">
        <f t="shared" si="58"/>
        <v>269</v>
      </c>
      <c r="C544" s="227">
        <f>C536+8*(C546-C536)/10</f>
        <v>54.2218</v>
      </c>
      <c r="D544" s="93">
        <f>D536+8*(D546-D536)/10</f>
        <v>0.00129974</v>
      </c>
      <c r="E544" s="96">
        <f t="shared" si="62"/>
        <v>0.03491266</v>
      </c>
      <c r="F544" s="228">
        <f>F536+8*(F546-F536)/10</f>
        <v>0.0362124</v>
      </c>
      <c r="G544" s="98">
        <f>G536+8*(G546-G536)/10</f>
        <v>1180.14</v>
      </c>
      <c r="H544" s="98">
        <f t="shared" si="63"/>
        <v>1610.4799999999998</v>
      </c>
      <c r="I544" s="98">
        <f>I536+8*(I546-I536)/10</f>
        <v>2790.62</v>
      </c>
      <c r="J544" s="225">
        <f t="shared" si="59"/>
        <v>269</v>
      </c>
      <c r="K544" s="19"/>
    </row>
    <row r="545" spans="2:11" ht="12.75">
      <c r="B545" s="111">
        <f t="shared" si="58"/>
        <v>269.5</v>
      </c>
      <c r="C545" s="227">
        <f>C536+9*(C546-C536)/10</f>
        <v>54.6399</v>
      </c>
      <c r="D545" s="93">
        <f>D536+9*(D546-D536)/10</f>
        <v>0.00130112</v>
      </c>
      <c r="E545" s="96">
        <f t="shared" si="62"/>
        <v>0.03459908</v>
      </c>
      <c r="F545" s="228">
        <f>F536+9*(F546-F536)/10</f>
        <v>0.0359002</v>
      </c>
      <c r="G545" s="98">
        <f>G536+9*(G546-G536)/10</f>
        <v>1182.67</v>
      </c>
      <c r="H545" s="98">
        <f t="shared" si="63"/>
        <v>1607.5900000000001</v>
      </c>
      <c r="I545" s="98">
        <f>I536+9*(I546-I536)/10</f>
        <v>2790.26</v>
      </c>
      <c r="J545" s="225">
        <f t="shared" si="59"/>
        <v>269.5</v>
      </c>
      <c r="K545" s="19"/>
    </row>
    <row r="546" spans="2:11" ht="12.75">
      <c r="B546" s="111">
        <f t="shared" si="58"/>
        <v>270</v>
      </c>
      <c r="C546" s="227">
        <v>55.058</v>
      </c>
      <c r="D546" s="93">
        <v>0.0013025</v>
      </c>
      <c r="E546" s="180">
        <f>F546-D546</f>
        <v>0.034285500000000003</v>
      </c>
      <c r="F546" s="180">
        <v>0.035588</v>
      </c>
      <c r="G546" s="180">
        <v>1185.2</v>
      </c>
      <c r="H546" s="180">
        <f>I546-G546</f>
        <v>1604.7</v>
      </c>
      <c r="I546" s="180">
        <v>2789.9</v>
      </c>
      <c r="J546" s="225">
        <f t="shared" si="59"/>
        <v>270</v>
      </c>
      <c r="K546" s="19"/>
    </row>
    <row r="547" spans="2:11" ht="12.75">
      <c r="B547" s="111">
        <f t="shared" si="58"/>
        <v>270.5</v>
      </c>
      <c r="C547" s="227">
        <f>C546+1*(C556-C546)/10</f>
        <v>55.5018</v>
      </c>
      <c r="D547" s="93">
        <f>D546+1*(D556-D546)/10</f>
        <v>0.0013039500000000001</v>
      </c>
      <c r="E547" s="96">
        <f aca="true" t="shared" si="64" ref="E547:E555">F547-D547</f>
        <v>0.033998850000000004</v>
      </c>
      <c r="F547" s="228">
        <f>F546+1*(F556-F546)/10</f>
        <v>0.0353028</v>
      </c>
      <c r="G547" s="98">
        <f>G546+1*(G556-G546)/10</f>
        <v>1187.77</v>
      </c>
      <c r="H547" s="98">
        <f aca="true" t="shared" si="65" ref="H547:H555">I547-G547</f>
        <v>1601.69</v>
      </c>
      <c r="I547" s="98">
        <f>I546+1*(I556-I546)/10</f>
        <v>2789.46</v>
      </c>
      <c r="J547" s="225">
        <f t="shared" si="59"/>
        <v>270.5</v>
      </c>
      <c r="K547" s="19"/>
    </row>
    <row r="548" spans="2:11" ht="12.75">
      <c r="B548" s="111">
        <f t="shared" si="58"/>
        <v>271</v>
      </c>
      <c r="C548" s="227">
        <f>C546+2*(C556-C546)/10</f>
        <v>55.9456</v>
      </c>
      <c r="D548" s="93">
        <f>D546+2*(D556-D546)/10</f>
        <v>0.0013054</v>
      </c>
      <c r="E548" s="96">
        <f t="shared" si="64"/>
        <v>0.033712200000000005</v>
      </c>
      <c r="F548" s="228">
        <f>F546+2*(F556-F546)/10</f>
        <v>0.0350176</v>
      </c>
      <c r="G548" s="98">
        <f>G546+2*(G556-G546)/10</f>
        <v>1190.3400000000001</v>
      </c>
      <c r="H548" s="98">
        <f t="shared" si="65"/>
        <v>1598.6799999999998</v>
      </c>
      <c r="I548" s="98">
        <f>I546+2*(I556-I546)/10</f>
        <v>2789.02</v>
      </c>
      <c r="J548" s="225">
        <f t="shared" si="59"/>
        <v>271</v>
      </c>
      <c r="K548" s="19"/>
    </row>
    <row r="549" spans="2:11" ht="12.75">
      <c r="B549" s="111">
        <f t="shared" si="58"/>
        <v>271.5</v>
      </c>
      <c r="C549" s="227">
        <f>C546+3*(C556-C546)/10</f>
        <v>56.3894</v>
      </c>
      <c r="D549" s="93">
        <f>D546+3*(D556-D546)/10</f>
        <v>0.00130685</v>
      </c>
      <c r="E549" s="96">
        <f t="shared" si="64"/>
        <v>0.033425550000000005</v>
      </c>
      <c r="F549" s="228">
        <f>F546+3*(F556-F546)/10</f>
        <v>0.034732400000000004</v>
      </c>
      <c r="G549" s="98">
        <f>G546+3*(G556-G546)/10</f>
        <v>1192.91</v>
      </c>
      <c r="H549" s="98">
        <f t="shared" si="65"/>
        <v>1595.6699999999998</v>
      </c>
      <c r="I549" s="98">
        <f>I546+3*(I556-I546)/10</f>
        <v>2788.58</v>
      </c>
      <c r="J549" s="225">
        <f t="shared" si="59"/>
        <v>271.5</v>
      </c>
      <c r="K549" s="19"/>
    </row>
    <row r="550" spans="2:11" ht="12.75">
      <c r="B550" s="111">
        <f t="shared" si="58"/>
        <v>272</v>
      </c>
      <c r="C550" s="227">
        <f>C546+4*(C556-C546)/10</f>
        <v>56.8332</v>
      </c>
      <c r="D550" s="93">
        <f>D546+4*(D556-D546)/10</f>
        <v>0.0013083</v>
      </c>
      <c r="E550" s="96">
        <f t="shared" si="64"/>
        <v>0.033138900000000006</v>
      </c>
      <c r="F550" s="228">
        <f>F546+4*(F556-F546)/10</f>
        <v>0.034447200000000004</v>
      </c>
      <c r="G550" s="98">
        <f>G546+4*(G556-G546)/10</f>
        <v>1195.48</v>
      </c>
      <c r="H550" s="98">
        <f t="shared" si="65"/>
        <v>1592.6599999999999</v>
      </c>
      <c r="I550" s="98">
        <f>I546+4*(I556-I546)/10</f>
        <v>2788.14</v>
      </c>
      <c r="J550" s="225">
        <f t="shared" si="59"/>
        <v>272</v>
      </c>
      <c r="K550" s="19"/>
    </row>
    <row r="551" spans="2:11" ht="12.75">
      <c r="B551" s="111">
        <f t="shared" si="58"/>
        <v>272.5</v>
      </c>
      <c r="C551" s="227">
        <f>C546+5*(C556-C546)/10</f>
        <v>57.277</v>
      </c>
      <c r="D551" s="93">
        <f>D546+5*(D556-D546)/10</f>
        <v>0.0013097500000000002</v>
      </c>
      <c r="E551" s="96">
        <f t="shared" si="64"/>
        <v>0.03285225</v>
      </c>
      <c r="F551" s="228">
        <f>F546+5*(F556-F546)/10</f>
        <v>0.034162</v>
      </c>
      <c r="G551" s="98">
        <f>G546+5*(G556-G546)/10</f>
        <v>1198.0500000000002</v>
      </c>
      <c r="H551" s="98">
        <f t="shared" si="65"/>
        <v>1589.6499999999996</v>
      </c>
      <c r="I551" s="98">
        <f>I546+5*(I556-I546)/10</f>
        <v>2787.7</v>
      </c>
      <c r="J551" s="225">
        <f t="shared" si="59"/>
        <v>272.5</v>
      </c>
      <c r="K551" s="19"/>
    </row>
    <row r="552" spans="2:11" ht="12.75">
      <c r="B552" s="111">
        <f t="shared" si="58"/>
        <v>273</v>
      </c>
      <c r="C552" s="227">
        <f>C546+6*(C556-C546)/10</f>
        <v>57.720800000000004</v>
      </c>
      <c r="D552" s="93">
        <f>D546+6*(D556-D546)/10</f>
        <v>0.0013112</v>
      </c>
      <c r="E552" s="96">
        <f t="shared" si="64"/>
        <v>0.0325656</v>
      </c>
      <c r="F552" s="228">
        <f>F546+6*(F556-F546)/10</f>
        <v>0.0338768</v>
      </c>
      <c r="G552" s="98">
        <f>G546+6*(G556-G546)/10</f>
        <v>1200.6200000000001</v>
      </c>
      <c r="H552" s="98">
        <f t="shared" si="65"/>
        <v>1586.64</v>
      </c>
      <c r="I552" s="98">
        <f>I546+6*(I556-I546)/10</f>
        <v>2787.26</v>
      </c>
      <c r="J552" s="225">
        <f t="shared" si="59"/>
        <v>273</v>
      </c>
      <c r="K552" s="19"/>
    </row>
    <row r="553" spans="2:11" ht="12.75">
      <c r="B553" s="111">
        <f t="shared" si="58"/>
        <v>273.5</v>
      </c>
      <c r="C553" s="227">
        <f>C546+7*(C556-C546)/10</f>
        <v>58.1646</v>
      </c>
      <c r="D553" s="93">
        <f>D546+7*(D556-D546)/10</f>
        <v>0.00131265</v>
      </c>
      <c r="E553" s="96">
        <f t="shared" si="64"/>
        <v>0.03227895</v>
      </c>
      <c r="F553" s="228">
        <f>F546+7*(F556-F546)/10</f>
        <v>0.0335916</v>
      </c>
      <c r="G553" s="98">
        <f>G546+7*(G556-G546)/10</f>
        <v>1203.19</v>
      </c>
      <c r="H553" s="98">
        <f t="shared" si="65"/>
        <v>1583.63</v>
      </c>
      <c r="I553" s="98">
        <f>I546+7*(I556-I546)/10</f>
        <v>2786.82</v>
      </c>
      <c r="J553" s="225">
        <f t="shared" si="59"/>
        <v>273.5</v>
      </c>
      <c r="K553" s="19"/>
    </row>
    <row r="554" spans="2:11" ht="12.75">
      <c r="B554" s="111">
        <f t="shared" si="58"/>
        <v>274</v>
      </c>
      <c r="C554" s="227">
        <f>C546+8*(C556-C546)/10</f>
        <v>58.6084</v>
      </c>
      <c r="D554" s="93">
        <f>D546+8*(D556-D546)/10</f>
        <v>0.0013141000000000001</v>
      </c>
      <c r="E554" s="96">
        <f t="shared" si="64"/>
        <v>0.0319923</v>
      </c>
      <c r="F554" s="228">
        <f>F546+8*(F556-F546)/10</f>
        <v>0.0333064</v>
      </c>
      <c r="G554" s="98">
        <f>G546+8*(G556-G546)/10</f>
        <v>1205.76</v>
      </c>
      <c r="H554" s="98">
        <f t="shared" si="65"/>
        <v>1580.6200000000001</v>
      </c>
      <c r="I554" s="98">
        <f>I546+8*(I556-I546)/10</f>
        <v>2786.38</v>
      </c>
      <c r="J554" s="225">
        <f t="shared" si="59"/>
        <v>274</v>
      </c>
      <c r="K554" s="19"/>
    </row>
    <row r="555" spans="2:11" ht="12.75">
      <c r="B555" s="111">
        <f t="shared" si="58"/>
        <v>274.5</v>
      </c>
      <c r="C555" s="227">
        <f>C546+9*(C556-C546)/10</f>
        <v>59.0522</v>
      </c>
      <c r="D555" s="93">
        <f>D546+9*(D556-D546)/10</f>
        <v>0.00131555</v>
      </c>
      <c r="E555" s="96">
        <f t="shared" si="64"/>
        <v>0.03170565</v>
      </c>
      <c r="F555" s="228">
        <f>F546+9*(F556-F546)/10</f>
        <v>0.0330212</v>
      </c>
      <c r="G555" s="98">
        <f>G546+9*(G556-G546)/10</f>
        <v>1208.3300000000002</v>
      </c>
      <c r="H555" s="98">
        <f t="shared" si="65"/>
        <v>1577.61</v>
      </c>
      <c r="I555" s="98">
        <f>I546+9*(I556-I546)/10</f>
        <v>2785.94</v>
      </c>
      <c r="J555" s="225">
        <f t="shared" si="59"/>
        <v>274.5</v>
      </c>
      <c r="K555" s="19"/>
    </row>
    <row r="556" spans="2:11" ht="12.75">
      <c r="B556" s="111">
        <f t="shared" si="58"/>
        <v>275</v>
      </c>
      <c r="C556" s="227">
        <v>59.496</v>
      </c>
      <c r="D556" s="93">
        <v>0.001317</v>
      </c>
      <c r="E556" s="180">
        <f>F556-D556</f>
        <v>0.031419</v>
      </c>
      <c r="F556" s="180">
        <v>0.032736</v>
      </c>
      <c r="G556" s="180">
        <v>1210.9</v>
      </c>
      <c r="H556" s="180">
        <f>I556-G556</f>
        <v>1574.6</v>
      </c>
      <c r="I556" s="180">
        <v>2785.5</v>
      </c>
      <c r="J556" s="225">
        <f t="shared" si="59"/>
        <v>275</v>
      </c>
      <c r="K556" s="19"/>
    </row>
    <row r="557" spans="2:11" ht="12.75">
      <c r="B557" s="111">
        <f t="shared" si="58"/>
        <v>275.5</v>
      </c>
      <c r="C557" s="227">
        <f>C556+1*(C566-C556)/10</f>
        <v>59.9666</v>
      </c>
      <c r="D557" s="93">
        <f>D556+1*(D566-D556)/10</f>
        <v>0.00131854</v>
      </c>
      <c r="E557" s="96">
        <f aca="true" t="shared" si="66" ref="E557:E565">F557-D557</f>
        <v>0.031156460000000004</v>
      </c>
      <c r="F557" s="228">
        <f>F556+1*(F566-F556)/10</f>
        <v>0.032475000000000004</v>
      </c>
      <c r="G557" s="98">
        <f>G556+1*(G566-G556)/10</f>
        <v>1213.49</v>
      </c>
      <c r="H557" s="98">
        <f aca="true" t="shared" si="67" ref="H557:H565">I557-G557</f>
        <v>1571.4999999999998</v>
      </c>
      <c r="I557" s="98">
        <f>I556+1*(I566-I556)/10</f>
        <v>2784.99</v>
      </c>
      <c r="J557" s="225">
        <f t="shared" si="59"/>
        <v>275.5</v>
      </c>
      <c r="K557" s="19"/>
    </row>
    <row r="558" spans="2:11" ht="12.75">
      <c r="B558" s="111">
        <f t="shared" si="58"/>
        <v>276</v>
      </c>
      <c r="C558" s="227">
        <f>C556+2*(C566-C556)/10</f>
        <v>60.437200000000004</v>
      </c>
      <c r="D558" s="93">
        <f>D556+2*(D566-D556)/10</f>
        <v>0.00132008</v>
      </c>
      <c r="E558" s="96">
        <f t="shared" si="66"/>
        <v>0.03089392</v>
      </c>
      <c r="F558" s="228">
        <f>F556+2*(F566-F556)/10</f>
        <v>0.032214</v>
      </c>
      <c r="G558" s="98">
        <f>G556+2*(G566-G556)/10</f>
        <v>1216.0800000000002</v>
      </c>
      <c r="H558" s="98">
        <f t="shared" si="67"/>
        <v>1568.3999999999999</v>
      </c>
      <c r="I558" s="98">
        <f>I556+2*(I566-I556)/10</f>
        <v>2784.48</v>
      </c>
      <c r="J558" s="225">
        <f t="shared" si="59"/>
        <v>276</v>
      </c>
      <c r="K558" s="19"/>
    </row>
    <row r="559" spans="2:11" ht="12.75">
      <c r="B559" s="111">
        <f t="shared" si="58"/>
        <v>276.5</v>
      </c>
      <c r="C559" s="227">
        <f>C556+3*(C566-C556)/10</f>
        <v>60.9078</v>
      </c>
      <c r="D559" s="93">
        <f>D556+3*(D566-D556)/10</f>
        <v>0.0013216200000000001</v>
      </c>
      <c r="E559" s="96">
        <f t="shared" si="66"/>
        <v>0.030631380000000003</v>
      </c>
      <c r="F559" s="228">
        <f>F556+3*(F566-F556)/10</f>
        <v>0.031953</v>
      </c>
      <c r="G559" s="98">
        <f>G556+3*(G566-G556)/10</f>
        <v>1218.67</v>
      </c>
      <c r="H559" s="98">
        <f t="shared" si="67"/>
        <v>1565.3000000000002</v>
      </c>
      <c r="I559" s="98">
        <f>I556+3*(I566-I556)/10</f>
        <v>2783.9700000000003</v>
      </c>
      <c r="J559" s="225">
        <f t="shared" si="59"/>
        <v>276.5</v>
      </c>
      <c r="K559" s="19"/>
    </row>
    <row r="560" spans="2:11" ht="12.75">
      <c r="B560" s="111">
        <f t="shared" si="58"/>
        <v>277</v>
      </c>
      <c r="C560" s="227">
        <f>C556+4*(C566-C556)/10</f>
        <v>61.3784</v>
      </c>
      <c r="D560" s="93">
        <f>D556+4*(D566-D556)/10</f>
        <v>0.00132316</v>
      </c>
      <c r="E560" s="96">
        <f t="shared" si="66"/>
        <v>0.030368839999999998</v>
      </c>
      <c r="F560" s="228">
        <f>F556+4*(F566-F556)/10</f>
        <v>0.031692</v>
      </c>
      <c r="G560" s="98">
        <f>G556+4*(G566-G556)/10</f>
        <v>1221.26</v>
      </c>
      <c r="H560" s="98">
        <f t="shared" si="67"/>
        <v>1562.2</v>
      </c>
      <c r="I560" s="98">
        <f>I556+4*(I566-I556)/10</f>
        <v>2783.46</v>
      </c>
      <c r="J560" s="225">
        <f t="shared" si="59"/>
        <v>277</v>
      </c>
      <c r="K560" s="19"/>
    </row>
    <row r="561" spans="2:11" ht="12.75">
      <c r="B561" s="111">
        <f t="shared" si="58"/>
        <v>277.5</v>
      </c>
      <c r="C561" s="227">
        <f>C556+5*(C566-C556)/10</f>
        <v>61.849000000000004</v>
      </c>
      <c r="D561" s="93">
        <f>D556+5*(D566-D556)/10</f>
        <v>0.0013247</v>
      </c>
      <c r="E561" s="96">
        <f t="shared" si="66"/>
        <v>0.0301063</v>
      </c>
      <c r="F561" s="228">
        <f>F556+5*(F566-F556)/10</f>
        <v>0.031431</v>
      </c>
      <c r="G561" s="98">
        <f>G556+5*(G566-G556)/10</f>
        <v>1223.85</v>
      </c>
      <c r="H561" s="98">
        <f t="shared" si="67"/>
        <v>1559.1</v>
      </c>
      <c r="I561" s="98">
        <f>I556+5*(I566-I556)/10</f>
        <v>2782.95</v>
      </c>
      <c r="J561" s="225">
        <f t="shared" si="59"/>
        <v>277.5</v>
      </c>
      <c r="K561" s="19"/>
    </row>
    <row r="562" spans="2:11" ht="12.75">
      <c r="B562" s="111">
        <f t="shared" si="58"/>
        <v>278</v>
      </c>
      <c r="C562" s="227">
        <f>C556+6*(C566-C556)/10</f>
        <v>62.3196</v>
      </c>
      <c r="D562" s="93">
        <f>D556+6*(D566-D556)/10</f>
        <v>0.00132624</v>
      </c>
      <c r="E562" s="96">
        <f t="shared" si="66"/>
        <v>0.02984376</v>
      </c>
      <c r="F562" s="228">
        <f>F556+6*(F566-F556)/10</f>
        <v>0.03117</v>
      </c>
      <c r="G562" s="98">
        <f>G556+6*(G566-G556)/10</f>
        <v>1226.44</v>
      </c>
      <c r="H562" s="98">
        <f t="shared" si="67"/>
        <v>1556</v>
      </c>
      <c r="I562" s="98">
        <f>I556+6*(I566-I556)/10</f>
        <v>2782.44</v>
      </c>
      <c r="J562" s="225">
        <f t="shared" si="59"/>
        <v>278</v>
      </c>
      <c r="K562" s="19"/>
    </row>
    <row r="563" spans="2:11" ht="12.75">
      <c r="B563" s="111">
        <f t="shared" si="58"/>
        <v>278.5</v>
      </c>
      <c r="C563" s="227">
        <f>C556+7*(C566-C556)/10</f>
        <v>62.7902</v>
      </c>
      <c r="D563" s="93">
        <f>D556+7*(D566-D556)/10</f>
        <v>0.00132778</v>
      </c>
      <c r="E563" s="96">
        <f t="shared" si="66"/>
        <v>0.02958122</v>
      </c>
      <c r="F563" s="228">
        <f>F556+7*(F566-F556)/10</f>
        <v>0.030909</v>
      </c>
      <c r="G563" s="98">
        <f>G556+7*(G566-G556)/10</f>
        <v>1229.03</v>
      </c>
      <c r="H563" s="98">
        <f t="shared" si="67"/>
        <v>1552.9000000000003</v>
      </c>
      <c r="I563" s="98">
        <f>I556+7*(I566-I556)/10</f>
        <v>2781.9300000000003</v>
      </c>
      <c r="J563" s="225">
        <f t="shared" si="59"/>
        <v>278.5</v>
      </c>
      <c r="K563" s="19"/>
    </row>
    <row r="564" spans="2:11" ht="12.75">
      <c r="B564" s="111">
        <f t="shared" si="58"/>
        <v>279</v>
      </c>
      <c r="C564" s="227">
        <f>C556+8*(C566-C556)/10</f>
        <v>63.260799999999996</v>
      </c>
      <c r="D564" s="93">
        <f>D556+8*(D566-D556)/10</f>
        <v>0.0013293200000000002</v>
      </c>
      <c r="E564" s="96">
        <f t="shared" si="66"/>
        <v>0.02931868</v>
      </c>
      <c r="F564" s="228">
        <f>F556+8*(F566-F556)/10</f>
        <v>0.030648</v>
      </c>
      <c r="G564" s="98">
        <f>G556+8*(G566-G556)/10</f>
        <v>1231.62</v>
      </c>
      <c r="H564" s="98">
        <f t="shared" si="67"/>
        <v>1549.8000000000002</v>
      </c>
      <c r="I564" s="98">
        <f>I556+8*(I566-I556)/10</f>
        <v>2781.42</v>
      </c>
      <c r="J564" s="225">
        <f t="shared" si="59"/>
        <v>279</v>
      </c>
      <c r="K564" s="19"/>
    </row>
    <row r="565" spans="2:11" ht="12.75">
      <c r="B565" s="111">
        <f t="shared" si="58"/>
        <v>279.5</v>
      </c>
      <c r="C565" s="227">
        <f>C556+9*(C566-C556)/10</f>
        <v>63.7314</v>
      </c>
      <c r="D565" s="93">
        <f>D556+9*(D566-D556)/10</f>
        <v>0.0013308600000000001</v>
      </c>
      <c r="E565" s="96">
        <f t="shared" si="66"/>
        <v>0.02905614</v>
      </c>
      <c r="F565" s="228">
        <f>F556+9*(F566-F556)/10</f>
        <v>0.030387</v>
      </c>
      <c r="G565" s="98">
        <f>G556+9*(G566-G556)/10</f>
        <v>1234.21</v>
      </c>
      <c r="H565" s="98">
        <f t="shared" si="67"/>
        <v>1546.6999999999998</v>
      </c>
      <c r="I565" s="98">
        <f>I556+9*(I566-I556)/10</f>
        <v>2780.91</v>
      </c>
      <c r="J565" s="225">
        <f t="shared" si="59"/>
        <v>279.5</v>
      </c>
      <c r="K565" s="19"/>
    </row>
    <row r="566" spans="2:11" ht="12.75">
      <c r="B566" s="111">
        <f t="shared" si="58"/>
        <v>280</v>
      </c>
      <c r="C566" s="227">
        <v>64.202</v>
      </c>
      <c r="D566" s="93">
        <v>0.0013324</v>
      </c>
      <c r="E566" s="180">
        <f>F566-D566</f>
        <v>0.0287936</v>
      </c>
      <c r="F566" s="180">
        <v>0.030126</v>
      </c>
      <c r="G566" s="180">
        <v>1236.8</v>
      </c>
      <c r="H566" s="180">
        <f>I566-G566</f>
        <v>1543.6000000000001</v>
      </c>
      <c r="I566" s="180">
        <v>2780.4</v>
      </c>
      <c r="J566" s="225">
        <f t="shared" si="59"/>
        <v>280</v>
      </c>
      <c r="K566" s="19"/>
    </row>
    <row r="567" spans="2:11" ht="12.75">
      <c r="B567" s="111">
        <f t="shared" si="58"/>
        <v>280.5</v>
      </c>
      <c r="C567" s="227">
        <f>C566+1*(C576-C566)/10</f>
        <v>64.7004</v>
      </c>
      <c r="D567" s="93">
        <f>D566+1*(D576-D566)/10</f>
        <v>0.0013340300000000002</v>
      </c>
      <c r="E567" s="96">
        <f aca="true" t="shared" si="68" ref="E567:E575">F567-D567</f>
        <v>0.02855267</v>
      </c>
      <c r="F567" s="228">
        <f>F566+1*(F576-F566)/10</f>
        <v>0.0298867</v>
      </c>
      <c r="G567" s="98">
        <f>G566+1*(G576-G566)/10</f>
        <v>1239.44</v>
      </c>
      <c r="H567" s="98">
        <f aca="true" t="shared" si="69" ref="H567:H575">I567-G567</f>
        <v>1540.37</v>
      </c>
      <c r="I567" s="98">
        <f>I566+1*(I576-I566)/10</f>
        <v>2779.81</v>
      </c>
      <c r="J567" s="225">
        <f t="shared" si="59"/>
        <v>280.5</v>
      </c>
      <c r="K567" s="19"/>
    </row>
    <row r="568" spans="2:11" ht="12.75">
      <c r="B568" s="111">
        <f t="shared" si="58"/>
        <v>281</v>
      </c>
      <c r="C568" s="227">
        <f>C566+2*(C576-C566)/10</f>
        <v>65.1988</v>
      </c>
      <c r="D568" s="93">
        <f>D566+2*(D576-D566)/10</f>
        <v>0.00133566</v>
      </c>
      <c r="E568" s="96">
        <f t="shared" si="68"/>
        <v>0.028311740000000002</v>
      </c>
      <c r="F568" s="228">
        <f>F566+2*(F576-F566)/10</f>
        <v>0.0296474</v>
      </c>
      <c r="G568" s="98">
        <f>G566+2*(G576-G566)/10</f>
        <v>1242.08</v>
      </c>
      <c r="H568" s="98">
        <f t="shared" si="69"/>
        <v>1537.1400000000003</v>
      </c>
      <c r="I568" s="98">
        <f>I566+2*(I576-I566)/10</f>
        <v>2779.2200000000003</v>
      </c>
      <c r="J568" s="225">
        <f t="shared" si="59"/>
        <v>281</v>
      </c>
      <c r="K568" s="19"/>
    </row>
    <row r="569" spans="2:11" ht="12.75">
      <c r="B569" s="111">
        <f t="shared" si="58"/>
        <v>281.5</v>
      </c>
      <c r="C569" s="227">
        <f>C566+3*(C576-C566)/10</f>
        <v>65.6972</v>
      </c>
      <c r="D569" s="93">
        <f>D566+3*(D576-D566)/10</f>
        <v>0.00133729</v>
      </c>
      <c r="E569" s="96">
        <f t="shared" si="68"/>
        <v>0.028070809999999998</v>
      </c>
      <c r="F569" s="228">
        <f>F566+3*(F576-F566)/10</f>
        <v>0.0294081</v>
      </c>
      <c r="G569" s="98">
        <f>G566+3*(G576-G566)/10</f>
        <v>1244.72</v>
      </c>
      <c r="H569" s="98">
        <f t="shared" si="69"/>
        <v>1533.91</v>
      </c>
      <c r="I569" s="98">
        <f>I566+3*(I576-I566)/10</f>
        <v>2778.63</v>
      </c>
      <c r="J569" s="225">
        <f t="shared" si="59"/>
        <v>281.5</v>
      </c>
      <c r="K569" s="19"/>
    </row>
    <row r="570" spans="2:11" ht="12.75">
      <c r="B570" s="111">
        <f t="shared" si="58"/>
        <v>282</v>
      </c>
      <c r="C570" s="227">
        <f>C566+4*(C576-C566)/10</f>
        <v>66.1956</v>
      </c>
      <c r="D570" s="93">
        <f>D566+4*(D576-D566)/10</f>
        <v>0.00133892</v>
      </c>
      <c r="E570" s="96">
        <f t="shared" si="68"/>
        <v>0.02782988</v>
      </c>
      <c r="F570" s="228">
        <f>F566+4*(F576-F566)/10</f>
        <v>0.0291688</v>
      </c>
      <c r="G570" s="98">
        <f>G566+4*(G576-G566)/10</f>
        <v>1247.36</v>
      </c>
      <c r="H570" s="98">
        <f t="shared" si="69"/>
        <v>1530.68</v>
      </c>
      <c r="I570" s="98">
        <f>I566+4*(I576-I566)/10</f>
        <v>2778.04</v>
      </c>
      <c r="J570" s="225">
        <f t="shared" si="59"/>
        <v>282</v>
      </c>
      <c r="K570" s="19"/>
    </row>
    <row r="571" spans="2:11" ht="12.75">
      <c r="B571" s="111">
        <f t="shared" si="58"/>
        <v>282.5</v>
      </c>
      <c r="C571" s="227">
        <f>C566+5*(C576-C566)/10</f>
        <v>66.694</v>
      </c>
      <c r="D571" s="93">
        <f>D566+5*(D576-D566)/10</f>
        <v>0.00134055</v>
      </c>
      <c r="E571" s="96">
        <f t="shared" si="68"/>
        <v>0.02758895</v>
      </c>
      <c r="F571" s="228">
        <f>F566+5*(F576-F566)/10</f>
        <v>0.0289295</v>
      </c>
      <c r="G571" s="98">
        <f>G566+5*(G576-G566)/10</f>
        <v>1250</v>
      </c>
      <c r="H571" s="98">
        <f t="shared" si="69"/>
        <v>1527.4499999999998</v>
      </c>
      <c r="I571" s="98">
        <f>I566+5*(I576-I566)/10</f>
        <v>2777.45</v>
      </c>
      <c r="J571" s="225">
        <f t="shared" si="59"/>
        <v>282.5</v>
      </c>
      <c r="K571" s="19"/>
    </row>
    <row r="572" spans="2:11" ht="12.75">
      <c r="B572" s="111">
        <f t="shared" si="58"/>
        <v>283</v>
      </c>
      <c r="C572" s="227">
        <f>C566+6*(C576-C566)/10</f>
        <v>67.1924</v>
      </c>
      <c r="D572" s="93">
        <f>D566+6*(D576-D566)/10</f>
        <v>0.0013421800000000001</v>
      </c>
      <c r="E572" s="96">
        <f t="shared" si="68"/>
        <v>0.02734802</v>
      </c>
      <c r="F572" s="228">
        <f>F566+6*(F576-F566)/10</f>
        <v>0.0286902</v>
      </c>
      <c r="G572" s="98">
        <f>G566+6*(G576-G566)/10</f>
        <v>1252.64</v>
      </c>
      <c r="H572" s="98">
        <f t="shared" si="69"/>
        <v>1524.22</v>
      </c>
      <c r="I572" s="98">
        <f>I566+6*(I576-I566)/10</f>
        <v>2776.86</v>
      </c>
      <c r="J572" s="225">
        <f t="shared" si="59"/>
        <v>283</v>
      </c>
      <c r="K572" s="19"/>
    </row>
    <row r="573" spans="2:11" ht="12.75">
      <c r="B573" s="111">
        <f t="shared" si="58"/>
        <v>283.5</v>
      </c>
      <c r="C573" s="227">
        <f>C566+7*(C576-C566)/10</f>
        <v>67.69080000000001</v>
      </c>
      <c r="D573" s="93">
        <f>D566+7*(D576-D566)/10</f>
        <v>0.00134381</v>
      </c>
      <c r="E573" s="96">
        <f t="shared" si="68"/>
        <v>0.02710709</v>
      </c>
      <c r="F573" s="228">
        <f>F566+7*(F576-F566)/10</f>
        <v>0.0284509</v>
      </c>
      <c r="G573" s="98">
        <f>G566+7*(G576-G566)/10</f>
        <v>1255.28</v>
      </c>
      <c r="H573" s="98">
        <f t="shared" si="69"/>
        <v>1520.99</v>
      </c>
      <c r="I573" s="98">
        <f>I566+7*(I576-I566)/10</f>
        <v>2776.27</v>
      </c>
      <c r="J573" s="225">
        <f t="shared" si="59"/>
        <v>283.5</v>
      </c>
      <c r="K573" s="19"/>
    </row>
    <row r="574" spans="2:11" ht="12.75">
      <c r="B574" s="111">
        <f t="shared" si="58"/>
        <v>284</v>
      </c>
      <c r="C574" s="227">
        <f>C566+8*(C576-C566)/10</f>
        <v>68.1892</v>
      </c>
      <c r="D574" s="93">
        <f>D566+8*(D576-D566)/10</f>
        <v>0.00134544</v>
      </c>
      <c r="E574" s="96">
        <f t="shared" si="68"/>
        <v>0.02686616</v>
      </c>
      <c r="F574" s="228">
        <f>F566+8*(F576-F566)/10</f>
        <v>0.0282116</v>
      </c>
      <c r="G574" s="98">
        <f>G566+8*(G576-G566)/10</f>
        <v>1257.92</v>
      </c>
      <c r="H574" s="98">
        <f t="shared" si="69"/>
        <v>1517.7599999999998</v>
      </c>
      <c r="I574" s="98">
        <f>I566+8*(I576-I566)/10</f>
        <v>2775.68</v>
      </c>
      <c r="J574" s="225">
        <f t="shared" si="59"/>
        <v>284</v>
      </c>
      <c r="K574" s="19"/>
    </row>
    <row r="575" spans="2:11" ht="12.75">
      <c r="B575" s="111">
        <f t="shared" si="58"/>
        <v>284.5</v>
      </c>
      <c r="C575" s="227">
        <f>C566+9*(C576-C566)/10</f>
        <v>68.6876</v>
      </c>
      <c r="D575" s="93">
        <f>D566+9*(D576-D566)/10</f>
        <v>0.00134707</v>
      </c>
      <c r="E575" s="96">
        <f t="shared" si="68"/>
        <v>0.026625230000000003</v>
      </c>
      <c r="F575" s="228">
        <f>F566+9*(F576-F566)/10</f>
        <v>0.027972300000000002</v>
      </c>
      <c r="G575" s="98">
        <f>G566+9*(G576-G566)/10</f>
        <v>1260.56</v>
      </c>
      <c r="H575" s="98">
        <f t="shared" si="69"/>
        <v>1514.5300000000002</v>
      </c>
      <c r="I575" s="98">
        <f>I566+9*(I576-I566)/10</f>
        <v>2775.09</v>
      </c>
      <c r="J575" s="225">
        <f t="shared" si="59"/>
        <v>284.5</v>
      </c>
      <c r="K575" s="19"/>
    </row>
    <row r="576" spans="2:11" ht="12.75">
      <c r="B576" s="111">
        <f t="shared" si="58"/>
        <v>285</v>
      </c>
      <c r="C576" s="227">
        <v>69.186</v>
      </c>
      <c r="D576" s="93">
        <v>0.0013487</v>
      </c>
      <c r="E576" s="180">
        <f>F576-D576</f>
        <v>0.0263843</v>
      </c>
      <c r="F576" s="180">
        <v>0.027733</v>
      </c>
      <c r="G576" s="180">
        <v>1263.2</v>
      </c>
      <c r="H576" s="180">
        <f>I576-G576</f>
        <v>1511.3</v>
      </c>
      <c r="I576" s="180">
        <v>2774.5</v>
      </c>
      <c r="J576" s="225">
        <f t="shared" si="59"/>
        <v>285</v>
      </c>
      <c r="K576" s="19"/>
    </row>
    <row r="577" spans="2:11" ht="12.75">
      <c r="B577" s="111">
        <f t="shared" si="58"/>
        <v>285.5</v>
      </c>
      <c r="C577" s="227">
        <f>C576+1*(C586-C576)/10</f>
        <v>69.71350000000001</v>
      </c>
      <c r="D577" s="93">
        <f>D576+1*(D586-D576)/10</f>
        <v>0.00135042</v>
      </c>
      <c r="E577" s="96">
        <f aca="true" t="shared" si="70" ref="E577:E585">F577-D577</f>
        <v>0.02616278</v>
      </c>
      <c r="F577" s="228">
        <f>F576+1*(F586-F576)/10</f>
        <v>0.0275132</v>
      </c>
      <c r="G577" s="98">
        <f>G576+1*(G586-G576)/10</f>
        <v>1265.88</v>
      </c>
      <c r="H577" s="98">
        <f aca="true" t="shared" si="71" ref="H577:H585">I577-G577</f>
        <v>1507.9299999999998</v>
      </c>
      <c r="I577" s="98">
        <f>I576+1*(I586-I576)/10</f>
        <v>2773.81</v>
      </c>
      <c r="J577" s="225">
        <f t="shared" si="59"/>
        <v>285.5</v>
      </c>
      <c r="K577" s="19"/>
    </row>
    <row r="578" spans="2:11" ht="12.75">
      <c r="B578" s="111">
        <f t="shared" si="58"/>
        <v>286</v>
      </c>
      <c r="C578" s="227">
        <f>C576+2*(C586-C576)/10</f>
        <v>70.241</v>
      </c>
      <c r="D578" s="93">
        <f>D576+2*(D586-D576)/10</f>
        <v>0.00135214</v>
      </c>
      <c r="E578" s="96">
        <f t="shared" si="70"/>
        <v>0.02594126</v>
      </c>
      <c r="F578" s="228">
        <f>F576+2*(F586-F576)/10</f>
        <v>0.0272934</v>
      </c>
      <c r="G578" s="98">
        <f>G576+2*(G586-G576)/10</f>
        <v>1268.56</v>
      </c>
      <c r="H578" s="98">
        <f t="shared" si="71"/>
        <v>1504.56</v>
      </c>
      <c r="I578" s="98">
        <f>I576+2*(I586-I576)/10</f>
        <v>2773.12</v>
      </c>
      <c r="J578" s="225">
        <f t="shared" si="59"/>
        <v>286</v>
      </c>
      <c r="K578" s="19"/>
    </row>
    <row r="579" spans="2:11" ht="12.75">
      <c r="B579" s="111">
        <f t="shared" si="58"/>
        <v>286.5</v>
      </c>
      <c r="C579" s="227">
        <f>C576+3*(C586-C576)/10</f>
        <v>70.7685</v>
      </c>
      <c r="D579" s="93">
        <f>D576+3*(D586-D576)/10</f>
        <v>0.00135386</v>
      </c>
      <c r="E579" s="96">
        <f t="shared" si="70"/>
        <v>0.02571974</v>
      </c>
      <c r="F579" s="228">
        <f>F576+3*(F586-F576)/10</f>
        <v>0.0270736</v>
      </c>
      <c r="G579" s="98">
        <f>G576+3*(G586-G576)/10</f>
        <v>1271.24</v>
      </c>
      <c r="H579" s="98">
        <f t="shared" si="71"/>
        <v>1501.1899999999998</v>
      </c>
      <c r="I579" s="98">
        <f>I576+3*(I586-I576)/10</f>
        <v>2772.43</v>
      </c>
      <c r="J579" s="225">
        <f t="shared" si="59"/>
        <v>286.5</v>
      </c>
      <c r="K579" s="19"/>
    </row>
    <row r="580" spans="2:11" ht="12.75">
      <c r="B580" s="111">
        <f t="shared" si="58"/>
        <v>287</v>
      </c>
      <c r="C580" s="227">
        <f>C576+4*(C586-C576)/10</f>
        <v>71.296</v>
      </c>
      <c r="D580" s="93">
        <f>D576+4*(D586-D576)/10</f>
        <v>0.00135558</v>
      </c>
      <c r="E580" s="96">
        <f t="shared" si="70"/>
        <v>0.025498220000000002</v>
      </c>
      <c r="F580" s="228">
        <f>F576+4*(F586-F576)/10</f>
        <v>0.0268538</v>
      </c>
      <c r="G580" s="98">
        <f>G576+4*(G586-G576)/10</f>
        <v>1273.92</v>
      </c>
      <c r="H580" s="98">
        <f t="shared" si="71"/>
        <v>1497.8199999999997</v>
      </c>
      <c r="I580" s="98">
        <f>I576+4*(I586-I576)/10</f>
        <v>2771.74</v>
      </c>
      <c r="J580" s="225">
        <f t="shared" si="59"/>
        <v>287</v>
      </c>
      <c r="K580" s="19"/>
    </row>
    <row r="581" spans="2:11" ht="12.75">
      <c r="B581" s="111">
        <f t="shared" si="58"/>
        <v>287.5</v>
      </c>
      <c r="C581" s="227">
        <f>C576+5*(C586-C576)/10</f>
        <v>71.8235</v>
      </c>
      <c r="D581" s="93">
        <f>D576+5*(D586-D576)/10</f>
        <v>0.0013573</v>
      </c>
      <c r="E581" s="96">
        <f t="shared" si="70"/>
        <v>0.0252767</v>
      </c>
      <c r="F581" s="228">
        <f>F576+5*(F586-F576)/10</f>
        <v>0.026633999999999998</v>
      </c>
      <c r="G581" s="98">
        <f>G576+5*(G586-G576)/10</f>
        <v>1276.6</v>
      </c>
      <c r="H581" s="98">
        <f t="shared" si="71"/>
        <v>1494.4500000000003</v>
      </c>
      <c r="I581" s="98">
        <f>I576+5*(I586-I576)/10</f>
        <v>2771.05</v>
      </c>
      <c r="J581" s="225">
        <f t="shared" si="59"/>
        <v>287.5</v>
      </c>
      <c r="K581" s="19"/>
    </row>
    <row r="582" spans="2:11" ht="12.75">
      <c r="B582" s="111">
        <f t="shared" si="58"/>
        <v>288</v>
      </c>
      <c r="C582" s="227">
        <f>C576+6*(C586-C576)/10</f>
        <v>72.351</v>
      </c>
      <c r="D582" s="93">
        <f>D576+6*(D586-D576)/10</f>
        <v>0.00135902</v>
      </c>
      <c r="E582" s="96">
        <f t="shared" si="70"/>
        <v>0.02505518</v>
      </c>
      <c r="F582" s="228">
        <f>F576+6*(F586-F576)/10</f>
        <v>0.0264142</v>
      </c>
      <c r="G582" s="98">
        <f>G576+6*(G586-G576)/10</f>
        <v>1279.28</v>
      </c>
      <c r="H582" s="98">
        <f t="shared" si="71"/>
        <v>1491.0800000000002</v>
      </c>
      <c r="I582" s="98">
        <f>I576+6*(I586-I576)/10</f>
        <v>2770.36</v>
      </c>
      <c r="J582" s="225">
        <f t="shared" si="59"/>
        <v>288</v>
      </c>
      <c r="K582" s="19"/>
    </row>
    <row r="583" spans="2:11" ht="12.75">
      <c r="B583" s="111">
        <f t="shared" si="58"/>
        <v>288.5</v>
      </c>
      <c r="C583" s="227">
        <f>C576+7*(C586-C576)/10</f>
        <v>72.8785</v>
      </c>
      <c r="D583" s="93">
        <f>D576+7*(D586-D576)/10</f>
        <v>0.00136074</v>
      </c>
      <c r="E583" s="96">
        <f t="shared" si="70"/>
        <v>0.02483366</v>
      </c>
      <c r="F583" s="228">
        <f>F576+7*(F586-F576)/10</f>
        <v>0.0261944</v>
      </c>
      <c r="G583" s="98">
        <f>G576+7*(G586-G576)/10</f>
        <v>1281.96</v>
      </c>
      <c r="H583" s="98">
        <f t="shared" si="71"/>
        <v>1487.71</v>
      </c>
      <c r="I583" s="98">
        <f>I576+7*(I586-I576)/10</f>
        <v>2769.67</v>
      </c>
      <c r="J583" s="225">
        <f t="shared" si="59"/>
        <v>288.5</v>
      </c>
      <c r="K583" s="19"/>
    </row>
    <row r="584" spans="2:11" ht="12.75">
      <c r="B584" s="111">
        <f aca="true" t="shared" si="72" ref="B584:B647">B583+0.5</f>
        <v>289</v>
      </c>
      <c r="C584" s="227">
        <f>C576+8*(C586-C576)/10</f>
        <v>73.406</v>
      </c>
      <c r="D584" s="93">
        <f>D576+8*(D586-D576)/10</f>
        <v>0.00136246</v>
      </c>
      <c r="E584" s="96">
        <f t="shared" si="70"/>
        <v>0.02461214</v>
      </c>
      <c r="F584" s="228">
        <f>F576+8*(F586-F576)/10</f>
        <v>0.0259746</v>
      </c>
      <c r="G584" s="98">
        <f>G576+8*(G586-G576)/10</f>
        <v>1284.64</v>
      </c>
      <c r="H584" s="98">
        <f t="shared" si="71"/>
        <v>1484.34</v>
      </c>
      <c r="I584" s="98">
        <f>I576+8*(I586-I576)/10</f>
        <v>2768.98</v>
      </c>
      <c r="J584" s="225">
        <f aca="true" t="shared" si="73" ref="J584:J647">J583+0.5</f>
        <v>289</v>
      </c>
      <c r="K584" s="19"/>
    </row>
    <row r="585" spans="2:11" ht="12.75">
      <c r="B585" s="111">
        <f t="shared" si="72"/>
        <v>289.5</v>
      </c>
      <c r="C585" s="227">
        <f>C576+9*(C586-C576)/10</f>
        <v>73.9335</v>
      </c>
      <c r="D585" s="93">
        <f>D576+9*(D586-D576)/10</f>
        <v>0.00136418</v>
      </c>
      <c r="E585" s="96">
        <f t="shared" si="70"/>
        <v>0.02439062</v>
      </c>
      <c r="F585" s="228">
        <f>F576+9*(F586-F576)/10</f>
        <v>0.025754799999999998</v>
      </c>
      <c r="G585" s="98">
        <f>G576+9*(G586-G576)/10</f>
        <v>1287.32</v>
      </c>
      <c r="H585" s="98">
        <f t="shared" si="71"/>
        <v>1480.97</v>
      </c>
      <c r="I585" s="98">
        <f>I576+9*(I586-I576)/10</f>
        <v>2768.29</v>
      </c>
      <c r="J585" s="225">
        <f t="shared" si="73"/>
        <v>289.5</v>
      </c>
      <c r="K585" s="19"/>
    </row>
    <row r="586" spans="2:11" ht="12.75">
      <c r="B586" s="111">
        <f t="shared" si="72"/>
        <v>290</v>
      </c>
      <c r="C586" s="227">
        <v>74.461</v>
      </c>
      <c r="D586" s="93">
        <v>0.0013659</v>
      </c>
      <c r="E586" s="180">
        <f>F586-D586</f>
        <v>0.0241691</v>
      </c>
      <c r="F586" s="180">
        <v>0.025535</v>
      </c>
      <c r="G586" s="180">
        <v>1290</v>
      </c>
      <c r="H586" s="180">
        <f>I586-G586</f>
        <v>1477.6</v>
      </c>
      <c r="I586" s="180">
        <v>2767.6</v>
      </c>
      <c r="J586" s="225">
        <f t="shared" si="73"/>
        <v>290</v>
      </c>
      <c r="K586" s="19"/>
    </row>
    <row r="587" spans="2:11" ht="12.75">
      <c r="B587" s="111">
        <f t="shared" si="72"/>
        <v>290.5</v>
      </c>
      <c r="C587" s="227">
        <f>C586+1*(C596-C586)/10</f>
        <v>75.01859999999999</v>
      </c>
      <c r="D587" s="93">
        <f>D586+1*(D596-D586)/10</f>
        <v>0.00136775</v>
      </c>
      <c r="E587" s="96">
        <f aca="true" t="shared" si="74" ref="E587:E595">F587-D587</f>
        <v>0.023965049999999998</v>
      </c>
      <c r="F587" s="228">
        <f>F586+1*(F596-F586)/10</f>
        <v>0.0253328</v>
      </c>
      <c r="G587" s="98">
        <f>G586+1*(G596-G586)/10</f>
        <v>1292.73</v>
      </c>
      <c r="H587" s="98">
        <f aca="true" t="shared" si="75" ref="H587:H595">I587-G587</f>
        <v>1474.0899999999997</v>
      </c>
      <c r="I587" s="98">
        <f>I586+1*(I596-I586)/10</f>
        <v>2766.8199999999997</v>
      </c>
      <c r="J587" s="225">
        <f t="shared" si="73"/>
        <v>290.5</v>
      </c>
      <c r="K587" s="19"/>
    </row>
    <row r="588" spans="2:11" ht="12.75">
      <c r="B588" s="111">
        <f t="shared" si="72"/>
        <v>291</v>
      </c>
      <c r="C588" s="227">
        <f>C586+2*(C596-C586)/10</f>
        <v>75.5762</v>
      </c>
      <c r="D588" s="93">
        <f>D586+2*(D596-D586)/10</f>
        <v>0.0013696</v>
      </c>
      <c r="E588" s="96">
        <f t="shared" si="74"/>
        <v>0.023761</v>
      </c>
      <c r="F588" s="228">
        <f>F586+2*(F596-F586)/10</f>
        <v>0.0251306</v>
      </c>
      <c r="G588" s="98">
        <f>G586+2*(G596-G586)/10</f>
        <v>1295.46</v>
      </c>
      <c r="H588" s="98">
        <f t="shared" si="75"/>
        <v>1470.58</v>
      </c>
      <c r="I588" s="98">
        <f>I586+2*(I596-I586)/10</f>
        <v>2766.04</v>
      </c>
      <c r="J588" s="225">
        <f t="shared" si="73"/>
        <v>291</v>
      </c>
      <c r="K588" s="19"/>
    </row>
    <row r="589" spans="2:11" ht="12.75">
      <c r="B589" s="111">
        <f t="shared" si="72"/>
        <v>291.5</v>
      </c>
      <c r="C589" s="227">
        <f>C586+3*(C596-C586)/10</f>
        <v>76.13380000000001</v>
      </c>
      <c r="D589" s="93">
        <f>D586+3*(D596-D586)/10</f>
        <v>0.00137145</v>
      </c>
      <c r="E589" s="96">
        <f t="shared" si="74"/>
        <v>0.02355695</v>
      </c>
      <c r="F589" s="228">
        <f>F586+3*(F596-F586)/10</f>
        <v>0.0249284</v>
      </c>
      <c r="G589" s="98">
        <f>G586+3*(G596-G586)/10</f>
        <v>1298.19</v>
      </c>
      <c r="H589" s="98">
        <f t="shared" si="75"/>
        <v>1467.0700000000002</v>
      </c>
      <c r="I589" s="98">
        <f>I586+3*(I596-I586)/10</f>
        <v>2765.26</v>
      </c>
      <c r="J589" s="225">
        <f t="shared" si="73"/>
        <v>291.5</v>
      </c>
      <c r="K589" s="19"/>
    </row>
    <row r="590" spans="2:11" ht="12.75">
      <c r="B590" s="111">
        <f t="shared" si="72"/>
        <v>292</v>
      </c>
      <c r="C590" s="227">
        <f>C586+4*(C596-C586)/10</f>
        <v>76.6914</v>
      </c>
      <c r="D590" s="93">
        <f>D586+4*(D596-D586)/10</f>
        <v>0.0013733</v>
      </c>
      <c r="E590" s="96">
        <f t="shared" si="74"/>
        <v>0.0233529</v>
      </c>
      <c r="F590" s="228">
        <f>F586+4*(F596-F586)/10</f>
        <v>0.0247262</v>
      </c>
      <c r="G590" s="98">
        <f>G586+4*(G596-G586)/10</f>
        <v>1300.92</v>
      </c>
      <c r="H590" s="98">
        <f t="shared" si="75"/>
        <v>1463.56</v>
      </c>
      <c r="I590" s="98">
        <f>I586+4*(I596-I586)/10</f>
        <v>2764.48</v>
      </c>
      <c r="J590" s="225">
        <f t="shared" si="73"/>
        <v>292</v>
      </c>
      <c r="K590" s="19"/>
    </row>
    <row r="591" spans="2:11" ht="12.75">
      <c r="B591" s="111">
        <f t="shared" si="72"/>
        <v>292.5</v>
      </c>
      <c r="C591" s="227">
        <f>C586+5*(C596-C586)/10</f>
        <v>77.249</v>
      </c>
      <c r="D591" s="93">
        <f>D586+5*(D596-D586)/10</f>
        <v>0.00137515</v>
      </c>
      <c r="E591" s="96">
        <f t="shared" si="74"/>
        <v>0.02314885</v>
      </c>
      <c r="F591" s="228">
        <f>F586+5*(F596-F586)/10</f>
        <v>0.024523999999999997</v>
      </c>
      <c r="G591" s="98">
        <f>G586+5*(G596-G586)/10</f>
        <v>1303.65</v>
      </c>
      <c r="H591" s="98">
        <f t="shared" si="75"/>
        <v>1460.0499999999997</v>
      </c>
      <c r="I591" s="98">
        <f>I586+5*(I596-I586)/10</f>
        <v>2763.7</v>
      </c>
      <c r="J591" s="225">
        <f t="shared" si="73"/>
        <v>292.5</v>
      </c>
      <c r="K591" s="19"/>
    </row>
    <row r="592" spans="2:11" ht="12.75">
      <c r="B592" s="111">
        <f t="shared" si="72"/>
        <v>293</v>
      </c>
      <c r="C592" s="227">
        <f>C586+6*(C596-C586)/10</f>
        <v>77.8066</v>
      </c>
      <c r="D592" s="93">
        <f>D586+6*(D596-D586)/10</f>
        <v>0.001377</v>
      </c>
      <c r="E592" s="96">
        <f t="shared" si="74"/>
        <v>0.022944799999999998</v>
      </c>
      <c r="F592" s="228">
        <f>F586+6*(F596-F586)/10</f>
        <v>0.024321799999999998</v>
      </c>
      <c r="G592" s="98">
        <f>G586+6*(G596-G586)/10</f>
        <v>1306.3799999999999</v>
      </c>
      <c r="H592" s="98">
        <f t="shared" si="75"/>
        <v>1456.5400000000002</v>
      </c>
      <c r="I592" s="98">
        <f>I586+6*(I596-I586)/10</f>
        <v>2762.92</v>
      </c>
      <c r="J592" s="225">
        <f t="shared" si="73"/>
        <v>293</v>
      </c>
      <c r="K592" s="19"/>
    </row>
    <row r="593" spans="2:11" ht="12.75">
      <c r="B593" s="111">
        <f t="shared" si="72"/>
        <v>293.5</v>
      </c>
      <c r="C593" s="227">
        <f>C586+7*(C596-C586)/10</f>
        <v>78.36420000000001</v>
      </c>
      <c r="D593" s="93">
        <f>D586+7*(D596-D586)/10</f>
        <v>0.00137885</v>
      </c>
      <c r="E593" s="96">
        <f t="shared" si="74"/>
        <v>0.022740749999999997</v>
      </c>
      <c r="F593" s="228">
        <f>F586+7*(F596-F586)/10</f>
        <v>0.024119599999999998</v>
      </c>
      <c r="G593" s="98">
        <f>G586+7*(G596-G586)/10</f>
        <v>1309.11</v>
      </c>
      <c r="H593" s="98">
        <f t="shared" si="75"/>
        <v>1453.0300000000004</v>
      </c>
      <c r="I593" s="98">
        <f>I586+7*(I596-I586)/10</f>
        <v>2762.1400000000003</v>
      </c>
      <c r="J593" s="225">
        <f t="shared" si="73"/>
        <v>293.5</v>
      </c>
      <c r="K593" s="19"/>
    </row>
    <row r="594" spans="2:11" ht="12.75">
      <c r="B594" s="111">
        <f t="shared" si="72"/>
        <v>294</v>
      </c>
      <c r="C594" s="227">
        <f>C586+8*(C596-C586)/10</f>
        <v>78.9218</v>
      </c>
      <c r="D594" s="93">
        <f>D586+8*(D596-D586)/10</f>
        <v>0.0013807000000000001</v>
      </c>
      <c r="E594" s="96">
        <f t="shared" si="74"/>
        <v>0.0225367</v>
      </c>
      <c r="F594" s="228">
        <f>F586+8*(F596-F586)/10</f>
        <v>0.0239174</v>
      </c>
      <c r="G594" s="98">
        <f>G586+8*(G596-G586)/10</f>
        <v>1311.84</v>
      </c>
      <c r="H594" s="98">
        <f t="shared" si="75"/>
        <v>1449.5200000000002</v>
      </c>
      <c r="I594" s="98">
        <f>I586+8*(I596-I586)/10</f>
        <v>2761.36</v>
      </c>
      <c r="J594" s="225">
        <f t="shared" si="73"/>
        <v>294</v>
      </c>
      <c r="K594" s="19"/>
    </row>
    <row r="595" spans="2:11" ht="12.75">
      <c r="B595" s="111">
        <f t="shared" si="72"/>
        <v>294.5</v>
      </c>
      <c r="C595" s="227">
        <f>C586+9*(C596-C586)/10</f>
        <v>79.4794</v>
      </c>
      <c r="D595" s="93">
        <f>D586+9*(D596-D586)/10</f>
        <v>0.00138255</v>
      </c>
      <c r="E595" s="96">
        <f t="shared" si="74"/>
        <v>0.02233265</v>
      </c>
      <c r="F595" s="228">
        <f>F586+9*(F596-F586)/10</f>
        <v>0.0237152</v>
      </c>
      <c r="G595" s="98">
        <f>G586+9*(G596-G586)/10</f>
        <v>1314.57</v>
      </c>
      <c r="H595" s="98">
        <f t="shared" si="75"/>
        <v>1446.01</v>
      </c>
      <c r="I595" s="98">
        <f>I586+9*(I596-I586)/10</f>
        <v>2760.58</v>
      </c>
      <c r="J595" s="225">
        <f t="shared" si="73"/>
        <v>294.5</v>
      </c>
      <c r="K595" s="19"/>
    </row>
    <row r="596" spans="2:11" ht="12.75">
      <c r="B596" s="111">
        <f t="shared" si="72"/>
        <v>295</v>
      </c>
      <c r="C596" s="227">
        <v>80.037</v>
      </c>
      <c r="D596" s="93">
        <v>0.0013844</v>
      </c>
      <c r="E596" s="180">
        <f>F596-D596</f>
        <v>0.0221286</v>
      </c>
      <c r="F596" s="180">
        <v>0.023513</v>
      </c>
      <c r="G596" s="180">
        <v>1317.3</v>
      </c>
      <c r="H596" s="180">
        <f>I596-G596</f>
        <v>1442.5000000000002</v>
      </c>
      <c r="I596" s="180">
        <v>2759.8</v>
      </c>
      <c r="J596" s="225">
        <f t="shared" si="73"/>
        <v>295</v>
      </c>
      <c r="K596" s="19"/>
    </row>
    <row r="597" spans="2:11" ht="12.75">
      <c r="B597" s="111">
        <f t="shared" si="72"/>
        <v>295.5</v>
      </c>
      <c r="C597" s="227">
        <f>C596+1*(C606-C596)/10</f>
        <v>80.626</v>
      </c>
      <c r="D597" s="93">
        <f>D596+1*(D606-D596)/10</f>
        <v>0.00138637</v>
      </c>
      <c r="E597" s="96">
        <f aca="true" t="shared" si="76" ref="E597:E605">F597-D597</f>
        <v>0.021940229999999998</v>
      </c>
      <c r="F597" s="228">
        <f>F596+1*(F606-F596)/10</f>
        <v>0.0233266</v>
      </c>
      <c r="G597" s="98">
        <f>G596+1*(G606-G596)/10</f>
        <v>1320.08</v>
      </c>
      <c r="H597" s="98">
        <f aca="true" t="shared" si="77" ref="H597:H605">I597-G597</f>
        <v>1438.8400000000001</v>
      </c>
      <c r="I597" s="98">
        <f>I596+1*(I606-I596)/10</f>
        <v>2758.92</v>
      </c>
      <c r="J597" s="225">
        <f t="shared" si="73"/>
        <v>295.5</v>
      </c>
      <c r="K597" s="19"/>
    </row>
    <row r="598" spans="2:11" ht="12.75">
      <c r="B598" s="111">
        <f t="shared" si="72"/>
        <v>296</v>
      </c>
      <c r="C598" s="227">
        <f>C596+2*(C606-C596)/10</f>
        <v>81.215</v>
      </c>
      <c r="D598" s="93">
        <f>D596+2*(D606-D596)/10</f>
        <v>0.00138834</v>
      </c>
      <c r="E598" s="96">
        <f t="shared" si="76"/>
        <v>0.021751859999999998</v>
      </c>
      <c r="F598" s="228">
        <f>F596+2*(F606-F596)/10</f>
        <v>0.0231402</v>
      </c>
      <c r="G598" s="98">
        <f>G596+2*(G606-G596)/10</f>
        <v>1322.86</v>
      </c>
      <c r="H598" s="98">
        <f t="shared" si="77"/>
        <v>1435.18</v>
      </c>
      <c r="I598" s="98">
        <f>I596+2*(I606-I596)/10</f>
        <v>2758.04</v>
      </c>
      <c r="J598" s="225">
        <f t="shared" si="73"/>
        <v>296</v>
      </c>
      <c r="K598" s="19"/>
    </row>
    <row r="599" spans="2:11" ht="12.75">
      <c r="B599" s="111">
        <f t="shared" si="72"/>
        <v>296.5</v>
      </c>
      <c r="C599" s="227">
        <f>C596+3*(C606-C596)/10</f>
        <v>81.804</v>
      </c>
      <c r="D599" s="93">
        <f>D596+3*(D606-D596)/10</f>
        <v>0.00139031</v>
      </c>
      <c r="E599" s="96">
        <f t="shared" si="76"/>
        <v>0.02156349</v>
      </c>
      <c r="F599" s="228">
        <f>F596+3*(F606-F596)/10</f>
        <v>0.0229538</v>
      </c>
      <c r="G599" s="98">
        <f>G596+3*(G606-G596)/10</f>
        <v>1325.6399999999999</v>
      </c>
      <c r="H599" s="98">
        <f t="shared" si="77"/>
        <v>1431.5200000000004</v>
      </c>
      <c r="I599" s="98">
        <f>I596+3*(I606-I596)/10</f>
        <v>2757.1600000000003</v>
      </c>
      <c r="J599" s="225">
        <f t="shared" si="73"/>
        <v>296.5</v>
      </c>
      <c r="K599" s="19"/>
    </row>
    <row r="600" spans="2:11" ht="12.75">
      <c r="B600" s="111">
        <f t="shared" si="72"/>
        <v>297</v>
      </c>
      <c r="C600" s="227">
        <f>C596+4*(C606-C596)/10</f>
        <v>82.393</v>
      </c>
      <c r="D600" s="93">
        <f>D596+4*(D606-D596)/10</f>
        <v>0.00139228</v>
      </c>
      <c r="E600" s="96">
        <f t="shared" si="76"/>
        <v>0.02137512</v>
      </c>
      <c r="F600" s="228">
        <f>F596+4*(F606-F596)/10</f>
        <v>0.0227674</v>
      </c>
      <c r="G600" s="98">
        <f>G596+4*(G606-G596)/10</f>
        <v>1328.4199999999998</v>
      </c>
      <c r="H600" s="98">
        <f t="shared" si="77"/>
        <v>1427.8600000000004</v>
      </c>
      <c r="I600" s="98">
        <f>I596+4*(I606-I596)/10</f>
        <v>2756.28</v>
      </c>
      <c r="J600" s="225">
        <f t="shared" si="73"/>
        <v>297</v>
      </c>
      <c r="K600" s="19"/>
    </row>
    <row r="601" spans="2:11" ht="12.75">
      <c r="B601" s="111">
        <f t="shared" si="72"/>
        <v>297.5</v>
      </c>
      <c r="C601" s="227">
        <f>C596+5*(C606-C596)/10</f>
        <v>82.982</v>
      </c>
      <c r="D601" s="93">
        <f>D596+5*(D606-D596)/10</f>
        <v>0.00139425</v>
      </c>
      <c r="E601" s="96">
        <f t="shared" si="76"/>
        <v>0.02118675</v>
      </c>
      <c r="F601" s="228">
        <f>F596+5*(F606-F596)/10</f>
        <v>0.022581</v>
      </c>
      <c r="G601" s="98">
        <f>G596+5*(G606-G596)/10</f>
        <v>1331.1999999999998</v>
      </c>
      <c r="H601" s="98">
        <f t="shared" si="77"/>
        <v>1424.2000000000003</v>
      </c>
      <c r="I601" s="98">
        <f>I596+5*(I606-I596)/10</f>
        <v>2755.4</v>
      </c>
      <c r="J601" s="225">
        <f t="shared" si="73"/>
        <v>297.5</v>
      </c>
      <c r="K601" s="19"/>
    </row>
    <row r="602" spans="2:11" ht="12.75">
      <c r="B602" s="111">
        <f t="shared" si="72"/>
        <v>298</v>
      </c>
      <c r="C602" s="227">
        <f>C596+6*(C606-C596)/10</f>
        <v>83.57100000000001</v>
      </c>
      <c r="D602" s="93">
        <f>D596+6*(D606-D596)/10</f>
        <v>0.0013962199999999999</v>
      </c>
      <c r="E602" s="96">
        <f t="shared" si="76"/>
        <v>0.02099838</v>
      </c>
      <c r="F602" s="228">
        <f>F596+6*(F606-F596)/10</f>
        <v>0.0223946</v>
      </c>
      <c r="G602" s="98">
        <f>G596+6*(G606-G596)/10</f>
        <v>1333.98</v>
      </c>
      <c r="H602" s="98">
        <f t="shared" si="77"/>
        <v>1420.54</v>
      </c>
      <c r="I602" s="98">
        <f>I596+6*(I606-I596)/10</f>
        <v>2754.52</v>
      </c>
      <c r="J602" s="225">
        <f t="shared" si="73"/>
        <v>298</v>
      </c>
      <c r="K602" s="19"/>
    </row>
    <row r="603" spans="2:11" ht="12.75">
      <c r="B603" s="111">
        <f t="shared" si="72"/>
        <v>298.5</v>
      </c>
      <c r="C603" s="227">
        <f>C596+7*(C606-C596)/10</f>
        <v>84.16000000000001</v>
      </c>
      <c r="D603" s="93">
        <f>D596+7*(D606-D596)/10</f>
        <v>0.00139819</v>
      </c>
      <c r="E603" s="96">
        <f t="shared" si="76"/>
        <v>0.02081001</v>
      </c>
      <c r="F603" s="228">
        <f>F596+7*(F606-F596)/10</f>
        <v>0.0222082</v>
      </c>
      <c r="G603" s="98">
        <f>G596+7*(G606-G596)/10</f>
        <v>1336.76</v>
      </c>
      <c r="H603" s="98">
        <f t="shared" si="77"/>
        <v>1416.8799999999999</v>
      </c>
      <c r="I603" s="98">
        <f>I596+7*(I606-I596)/10</f>
        <v>2753.64</v>
      </c>
      <c r="J603" s="225">
        <f t="shared" si="73"/>
        <v>298.5</v>
      </c>
      <c r="K603" s="19"/>
    </row>
    <row r="604" spans="2:11" ht="12.75">
      <c r="B604" s="111">
        <f t="shared" si="72"/>
        <v>299</v>
      </c>
      <c r="C604" s="227">
        <f>C596+8*(C606-C596)/10</f>
        <v>84.74900000000001</v>
      </c>
      <c r="D604" s="93">
        <f>D596+8*(D606-D596)/10</f>
        <v>0.00140016</v>
      </c>
      <c r="E604" s="96">
        <f t="shared" si="76"/>
        <v>0.02062164</v>
      </c>
      <c r="F604" s="228">
        <f>F596+8*(F606-F596)/10</f>
        <v>0.0220218</v>
      </c>
      <c r="G604" s="98">
        <f>G596+8*(G606-G596)/10</f>
        <v>1339.54</v>
      </c>
      <c r="H604" s="98">
        <f t="shared" si="77"/>
        <v>1413.2200000000003</v>
      </c>
      <c r="I604" s="98">
        <f>I596+8*(I606-I596)/10</f>
        <v>2752.76</v>
      </c>
      <c r="J604" s="225">
        <f t="shared" si="73"/>
        <v>299</v>
      </c>
      <c r="K604" s="19"/>
    </row>
    <row r="605" spans="2:11" ht="12.75">
      <c r="B605" s="111">
        <f t="shared" si="72"/>
        <v>299.5</v>
      </c>
      <c r="C605" s="227">
        <f>C596+9*(C606-C596)/10</f>
        <v>85.33800000000001</v>
      </c>
      <c r="D605" s="93">
        <f>D596+9*(D606-D596)/10</f>
        <v>0.00140213</v>
      </c>
      <c r="E605" s="96">
        <f t="shared" si="76"/>
        <v>0.02043327</v>
      </c>
      <c r="F605" s="228">
        <f>F596+9*(F606-F596)/10</f>
        <v>0.0218354</v>
      </c>
      <c r="G605" s="98">
        <f>G596+9*(G606-G596)/10</f>
        <v>1342.32</v>
      </c>
      <c r="H605" s="98">
        <f t="shared" si="77"/>
        <v>1409.5600000000002</v>
      </c>
      <c r="I605" s="98">
        <f>I596+9*(I606-I596)/10</f>
        <v>2751.88</v>
      </c>
      <c r="J605" s="225">
        <f t="shared" si="73"/>
        <v>299.5</v>
      </c>
      <c r="K605" s="19"/>
    </row>
    <row r="606" spans="2:11" ht="12.75">
      <c r="B606" s="111">
        <f t="shared" si="72"/>
        <v>300</v>
      </c>
      <c r="C606" s="227">
        <v>85.927</v>
      </c>
      <c r="D606" s="93">
        <v>0.0014041</v>
      </c>
      <c r="E606" s="180">
        <f>F606-D606</f>
        <v>0.020244900000000003</v>
      </c>
      <c r="F606" s="180">
        <v>0.021649</v>
      </c>
      <c r="G606" s="180">
        <v>1345.1</v>
      </c>
      <c r="H606" s="180">
        <f>I606-G606</f>
        <v>1405.9</v>
      </c>
      <c r="I606" s="180">
        <v>2751</v>
      </c>
      <c r="J606" s="225">
        <f t="shared" si="73"/>
        <v>300</v>
      </c>
      <c r="K606" s="19"/>
    </row>
    <row r="607" spans="2:11" ht="12.75">
      <c r="B607" s="111">
        <f t="shared" si="72"/>
        <v>300.5</v>
      </c>
      <c r="C607" s="227">
        <f>C606+1*(C616-C606)/10</f>
        <v>86.54870000000001</v>
      </c>
      <c r="D607" s="93">
        <f>D606+1*(D616-D606)/10</f>
        <v>0.00140621</v>
      </c>
      <c r="E607" s="96">
        <f aca="true" t="shared" si="78" ref="E607:E615">F607-D607</f>
        <v>0.02007059</v>
      </c>
      <c r="F607" s="228">
        <f>F606+1*(F616-F606)/10</f>
        <v>0.0214768</v>
      </c>
      <c r="G607" s="98">
        <f>G606+1*(G616-G606)/10</f>
        <v>1347.9299999999998</v>
      </c>
      <c r="H607" s="98">
        <f aca="true" t="shared" si="79" ref="H607:H615">I607-G607</f>
        <v>1402.0800000000004</v>
      </c>
      <c r="I607" s="98">
        <f>I606+1*(I616-I606)/10</f>
        <v>2750.01</v>
      </c>
      <c r="J607" s="225">
        <f t="shared" si="73"/>
        <v>300.5</v>
      </c>
      <c r="K607" s="19"/>
    </row>
    <row r="608" spans="2:11" ht="12.75">
      <c r="B608" s="111">
        <f t="shared" si="72"/>
        <v>301</v>
      </c>
      <c r="C608" s="227">
        <f>C606+2*(C616-C606)/10</f>
        <v>87.1704</v>
      </c>
      <c r="D608" s="93">
        <f>D606+2*(D616-D606)/10</f>
        <v>0.00140832</v>
      </c>
      <c r="E608" s="96">
        <f t="shared" si="78"/>
        <v>0.01989628</v>
      </c>
      <c r="F608" s="228">
        <f>F606+2*(F616-F606)/10</f>
        <v>0.0213046</v>
      </c>
      <c r="G608" s="98">
        <f>G606+2*(G616-G606)/10</f>
        <v>1350.76</v>
      </c>
      <c r="H608" s="98">
        <f t="shared" si="79"/>
        <v>1398.26</v>
      </c>
      <c r="I608" s="98">
        <f>I606+2*(I616-I606)/10</f>
        <v>2749.02</v>
      </c>
      <c r="J608" s="225">
        <f t="shared" si="73"/>
        <v>301</v>
      </c>
      <c r="K608" s="19"/>
    </row>
    <row r="609" spans="2:11" ht="12.75">
      <c r="B609" s="111">
        <f t="shared" si="72"/>
        <v>301.5</v>
      </c>
      <c r="C609" s="227">
        <f>C606+3*(C616-C606)/10</f>
        <v>87.7921</v>
      </c>
      <c r="D609" s="93">
        <f>D606+3*(D616-D606)/10</f>
        <v>0.0014104299999999998</v>
      </c>
      <c r="E609" s="96">
        <f t="shared" si="78"/>
        <v>0.019721970000000002</v>
      </c>
      <c r="F609" s="228">
        <f>F606+3*(F616-F606)/10</f>
        <v>0.021132400000000003</v>
      </c>
      <c r="G609" s="98">
        <f>G606+3*(G616-G606)/10</f>
        <v>1353.59</v>
      </c>
      <c r="H609" s="98">
        <f t="shared" si="79"/>
        <v>1394.4399999999998</v>
      </c>
      <c r="I609" s="98">
        <f>I606+3*(I616-I606)/10</f>
        <v>2748.0299999999997</v>
      </c>
      <c r="J609" s="225">
        <f t="shared" si="73"/>
        <v>301.5</v>
      </c>
      <c r="K609" s="19"/>
    </row>
    <row r="610" spans="2:11" ht="12.75">
      <c r="B610" s="111">
        <f t="shared" si="72"/>
        <v>302</v>
      </c>
      <c r="C610" s="227">
        <f>C606+4*(C616-C606)/10</f>
        <v>88.41380000000001</v>
      </c>
      <c r="D610" s="93">
        <f>D606+4*(D616-D606)/10</f>
        <v>0.0014125399999999999</v>
      </c>
      <c r="E610" s="96">
        <f t="shared" si="78"/>
        <v>0.01954766</v>
      </c>
      <c r="F610" s="228">
        <f>F606+4*(F616-F606)/10</f>
        <v>0.020960200000000002</v>
      </c>
      <c r="G610" s="98">
        <f>G606+4*(G616-G606)/10</f>
        <v>1356.42</v>
      </c>
      <c r="H610" s="98">
        <f t="shared" si="79"/>
        <v>1390.62</v>
      </c>
      <c r="I610" s="98">
        <f>I606+4*(I616-I606)/10</f>
        <v>2747.04</v>
      </c>
      <c r="J610" s="225">
        <f t="shared" si="73"/>
        <v>302</v>
      </c>
      <c r="K610" s="19"/>
    </row>
    <row r="611" spans="2:11" ht="12.75">
      <c r="B611" s="111">
        <f t="shared" si="72"/>
        <v>302.5</v>
      </c>
      <c r="C611" s="227">
        <f>C606+5*(C616-C606)/10</f>
        <v>89.03550000000001</v>
      </c>
      <c r="D611" s="93">
        <f>D606+5*(D616-D606)/10</f>
        <v>0.00141465</v>
      </c>
      <c r="E611" s="96">
        <f t="shared" si="78"/>
        <v>0.01937335</v>
      </c>
      <c r="F611" s="228">
        <f>F606+5*(F616-F606)/10</f>
        <v>0.020788</v>
      </c>
      <c r="G611" s="98">
        <f>G606+5*(G616-G606)/10</f>
        <v>1359.25</v>
      </c>
      <c r="H611" s="98">
        <f t="shared" si="79"/>
        <v>1386.8000000000002</v>
      </c>
      <c r="I611" s="98">
        <f>I606+5*(I616-I606)/10</f>
        <v>2746.05</v>
      </c>
      <c r="J611" s="225">
        <f t="shared" si="73"/>
        <v>302.5</v>
      </c>
      <c r="K611" s="19"/>
    </row>
    <row r="612" spans="2:11" ht="12.75">
      <c r="B612" s="111">
        <f t="shared" si="72"/>
        <v>303</v>
      </c>
      <c r="C612" s="227">
        <f>C606+6*(C616-C606)/10</f>
        <v>89.6572</v>
      </c>
      <c r="D612" s="93">
        <f>D606+6*(D616-D606)/10</f>
        <v>0.00141676</v>
      </c>
      <c r="E612" s="96">
        <f t="shared" si="78"/>
        <v>0.01919904</v>
      </c>
      <c r="F612" s="228">
        <f>F606+6*(F616-F606)/10</f>
        <v>0.0206158</v>
      </c>
      <c r="G612" s="98">
        <f>G606+6*(G616-G606)/10</f>
        <v>1362.08</v>
      </c>
      <c r="H612" s="98">
        <f t="shared" si="79"/>
        <v>1382.98</v>
      </c>
      <c r="I612" s="98">
        <f>I606+6*(I616-I606)/10</f>
        <v>2745.06</v>
      </c>
      <c r="J612" s="225">
        <f t="shared" si="73"/>
        <v>303</v>
      </c>
      <c r="K612" s="19"/>
    </row>
    <row r="613" spans="2:11" ht="12.75">
      <c r="B613" s="111">
        <f t="shared" si="72"/>
        <v>303.5</v>
      </c>
      <c r="C613" s="227">
        <f>C606+7*(C616-C606)/10</f>
        <v>90.27890000000001</v>
      </c>
      <c r="D613" s="93">
        <f>D606+7*(D616-D606)/10</f>
        <v>0.00141887</v>
      </c>
      <c r="E613" s="96">
        <f t="shared" si="78"/>
        <v>0.01902473</v>
      </c>
      <c r="F613" s="228">
        <f>F606+7*(F616-F606)/10</f>
        <v>0.0204436</v>
      </c>
      <c r="G613" s="98">
        <f>G606+7*(G616-G606)/10</f>
        <v>1364.91</v>
      </c>
      <c r="H613" s="98">
        <f t="shared" si="79"/>
        <v>1379.1599999999996</v>
      </c>
      <c r="I613" s="98">
        <f>I606+7*(I616-I606)/10</f>
        <v>2744.0699999999997</v>
      </c>
      <c r="J613" s="225">
        <f t="shared" si="73"/>
        <v>303.5</v>
      </c>
      <c r="K613" s="19"/>
    </row>
    <row r="614" spans="2:11" ht="12.75">
      <c r="B614" s="111">
        <f t="shared" si="72"/>
        <v>304</v>
      </c>
      <c r="C614" s="227">
        <f>C606+8*(C616-C606)/10</f>
        <v>90.90060000000001</v>
      </c>
      <c r="D614" s="93">
        <f>D606+8*(D616-D606)/10</f>
        <v>0.0014209799999999999</v>
      </c>
      <c r="E614" s="96">
        <f t="shared" si="78"/>
        <v>0.018850420000000003</v>
      </c>
      <c r="F614" s="228">
        <f>F606+8*(F616-F606)/10</f>
        <v>0.020271400000000002</v>
      </c>
      <c r="G614" s="98">
        <f>G606+8*(G616-G606)/10</f>
        <v>1367.74</v>
      </c>
      <c r="H614" s="98">
        <f t="shared" si="79"/>
        <v>1375.34</v>
      </c>
      <c r="I614" s="98">
        <f>I606+8*(I616-I606)/10</f>
        <v>2743.08</v>
      </c>
      <c r="J614" s="225">
        <f t="shared" si="73"/>
        <v>304</v>
      </c>
      <c r="K614" s="19"/>
    </row>
    <row r="615" spans="2:11" ht="12.75">
      <c r="B615" s="111">
        <f t="shared" si="72"/>
        <v>304.5</v>
      </c>
      <c r="C615" s="227">
        <f>C606+9*(C616-C606)/10</f>
        <v>91.5223</v>
      </c>
      <c r="D615" s="93">
        <f>D606+9*(D616-D606)/10</f>
        <v>0.00142309</v>
      </c>
      <c r="E615" s="96">
        <f t="shared" si="78"/>
        <v>0.018676110000000003</v>
      </c>
      <c r="F615" s="228">
        <f>F606+9*(F616-F606)/10</f>
        <v>0.0200992</v>
      </c>
      <c r="G615" s="98">
        <f>G606+9*(G616-G606)/10</f>
        <v>1370.5700000000002</v>
      </c>
      <c r="H615" s="98">
        <f t="shared" si="79"/>
        <v>1371.52</v>
      </c>
      <c r="I615" s="98">
        <f>I606+9*(I616-I606)/10</f>
        <v>2742.09</v>
      </c>
      <c r="J615" s="225">
        <f t="shared" si="73"/>
        <v>304.5</v>
      </c>
      <c r="K615" s="19"/>
    </row>
    <row r="616" spans="2:11" ht="12.75">
      <c r="B616" s="111">
        <f t="shared" si="72"/>
        <v>305</v>
      </c>
      <c r="C616" s="227">
        <v>92.144</v>
      </c>
      <c r="D616" s="93">
        <v>0.0014252</v>
      </c>
      <c r="E616" s="180">
        <f>F616-D616</f>
        <v>0.0185018</v>
      </c>
      <c r="F616" s="180">
        <v>0.019927</v>
      </c>
      <c r="G616" s="180">
        <v>1373.4</v>
      </c>
      <c r="H616" s="180">
        <f>I616-G616</f>
        <v>1367.6999999999998</v>
      </c>
      <c r="I616" s="180">
        <v>2741.1</v>
      </c>
      <c r="J616" s="225">
        <f t="shared" si="73"/>
        <v>305</v>
      </c>
      <c r="K616" s="19"/>
    </row>
    <row r="617" spans="2:11" ht="12.75">
      <c r="B617" s="111">
        <f t="shared" si="72"/>
        <v>305.5</v>
      </c>
      <c r="C617" s="227">
        <f>C616+1*(C626-C616)/10</f>
        <v>92.7996</v>
      </c>
      <c r="D617" s="93">
        <f>D616+1*(D626-D616)/10</f>
        <v>0.00142698</v>
      </c>
      <c r="E617" s="96">
        <f aca="true" t="shared" si="80" ref="E617:E625">F617-D617</f>
        <v>0.018340719999999998</v>
      </c>
      <c r="F617" s="228">
        <f>F616+1*(F626-F616)/10</f>
        <v>0.0197677</v>
      </c>
      <c r="G617" s="98">
        <f>G616+1*(G626-G616)/10</f>
        <v>1376.3000000000002</v>
      </c>
      <c r="H617" s="98">
        <f aca="true" t="shared" si="81" ref="H617:H625">I617-G617</f>
        <v>1363.6899999999996</v>
      </c>
      <c r="I617" s="98">
        <f>I616+1*(I626-I616)/10</f>
        <v>2739.99</v>
      </c>
      <c r="J617" s="225">
        <f t="shared" si="73"/>
        <v>305.5</v>
      </c>
      <c r="K617" s="19"/>
    </row>
    <row r="618" spans="2:11" ht="12.75">
      <c r="B618" s="111">
        <f t="shared" si="72"/>
        <v>306</v>
      </c>
      <c r="C618" s="227">
        <f>C616+2*(C626-C616)/10</f>
        <v>93.4552</v>
      </c>
      <c r="D618" s="93">
        <f>D616+2*(D626-D616)/10</f>
        <v>0.00142876</v>
      </c>
      <c r="E618" s="96">
        <f t="shared" si="80"/>
        <v>0.01817964</v>
      </c>
      <c r="F618" s="228">
        <f>F616+2*(F626-F616)/10</f>
        <v>0.0196084</v>
      </c>
      <c r="G618" s="98">
        <f>G616+2*(G626-G616)/10</f>
        <v>1379.2</v>
      </c>
      <c r="H618" s="98">
        <f t="shared" si="81"/>
        <v>1359.68</v>
      </c>
      <c r="I618" s="98">
        <f>I616+2*(I626-I616)/10</f>
        <v>2738.88</v>
      </c>
      <c r="J618" s="225">
        <f t="shared" si="73"/>
        <v>306</v>
      </c>
      <c r="K618" s="19"/>
    </row>
    <row r="619" spans="2:11" ht="12.75">
      <c r="B619" s="111">
        <f t="shared" si="72"/>
        <v>306.5</v>
      </c>
      <c r="C619" s="227">
        <f>C616+3*(C626-C616)/10</f>
        <v>94.11080000000001</v>
      </c>
      <c r="D619" s="93">
        <f>D616+3*(D626-D616)/10</f>
        <v>0.00143054</v>
      </c>
      <c r="E619" s="96">
        <f t="shared" si="80"/>
        <v>0.01801856</v>
      </c>
      <c r="F619" s="228">
        <f>F616+3*(F626-F616)/10</f>
        <v>0.0194491</v>
      </c>
      <c r="G619" s="98">
        <f>G616+3*(G626-G616)/10</f>
        <v>1382.1000000000001</v>
      </c>
      <c r="H619" s="98">
        <f t="shared" si="81"/>
        <v>1355.6699999999998</v>
      </c>
      <c r="I619" s="98">
        <f>I616+3*(I626-I616)/10</f>
        <v>2737.77</v>
      </c>
      <c r="J619" s="225">
        <f t="shared" si="73"/>
        <v>306.5</v>
      </c>
      <c r="K619" s="19"/>
    </row>
    <row r="620" spans="2:11" ht="12.75">
      <c r="B620" s="111">
        <f t="shared" si="72"/>
        <v>307</v>
      </c>
      <c r="C620" s="227">
        <f>C616+4*(C626-C616)/10</f>
        <v>94.7664</v>
      </c>
      <c r="D620" s="93">
        <f>D616+4*(D626-D616)/10</f>
        <v>0.00143232</v>
      </c>
      <c r="E620" s="96">
        <f t="shared" si="80"/>
        <v>0.01785748</v>
      </c>
      <c r="F620" s="228">
        <f>F616+4*(F626-F616)/10</f>
        <v>0.0192898</v>
      </c>
      <c r="G620" s="98">
        <f>G616+4*(G626-G616)/10</f>
        <v>1385</v>
      </c>
      <c r="H620" s="98">
        <f t="shared" si="81"/>
        <v>1351.6599999999999</v>
      </c>
      <c r="I620" s="98">
        <f>I616+4*(I626-I616)/10</f>
        <v>2736.66</v>
      </c>
      <c r="J620" s="225">
        <f t="shared" si="73"/>
        <v>307</v>
      </c>
      <c r="K620" s="19"/>
    </row>
    <row r="621" spans="2:11" ht="12.75">
      <c r="B621" s="111">
        <f t="shared" si="72"/>
        <v>307.5</v>
      </c>
      <c r="C621" s="227">
        <f>C616+5*(C626-C616)/10</f>
        <v>95.422</v>
      </c>
      <c r="D621" s="93">
        <f>D616+5*(D626-D616)/10</f>
        <v>0.0014341</v>
      </c>
      <c r="E621" s="96">
        <f t="shared" si="80"/>
        <v>0.0176964</v>
      </c>
      <c r="F621" s="228">
        <f>F616+5*(F626-F616)/10</f>
        <v>0.0191305</v>
      </c>
      <c r="G621" s="98">
        <f>G616+5*(G626-G616)/10</f>
        <v>1387.9</v>
      </c>
      <c r="H621" s="98">
        <f t="shared" si="81"/>
        <v>1347.65</v>
      </c>
      <c r="I621" s="98">
        <f>I616+5*(I626-I616)/10</f>
        <v>2735.55</v>
      </c>
      <c r="J621" s="225">
        <f t="shared" si="73"/>
        <v>307.5</v>
      </c>
      <c r="K621" s="19"/>
    </row>
    <row r="622" spans="2:11" ht="12.75">
      <c r="B622" s="111">
        <f t="shared" si="72"/>
        <v>308</v>
      </c>
      <c r="C622" s="227">
        <f>C616+6*(C626-C616)/10</f>
        <v>96.0776</v>
      </c>
      <c r="D622" s="93">
        <f>D616+6*(D626-D616)/10</f>
        <v>0.00143588</v>
      </c>
      <c r="E622" s="96">
        <f t="shared" si="80"/>
        <v>0.01753532</v>
      </c>
      <c r="F622" s="228">
        <f>F616+6*(F626-F616)/10</f>
        <v>0.0189712</v>
      </c>
      <c r="G622" s="98">
        <f>G616+6*(G626-G616)/10</f>
        <v>1390.8000000000002</v>
      </c>
      <c r="H622" s="98">
        <f t="shared" si="81"/>
        <v>1343.6399999999999</v>
      </c>
      <c r="I622" s="98">
        <f>I616+6*(I626-I616)/10</f>
        <v>2734.44</v>
      </c>
      <c r="J622" s="225">
        <f t="shared" si="73"/>
        <v>308</v>
      </c>
      <c r="K622" s="19"/>
    </row>
    <row r="623" spans="2:11" ht="12.75">
      <c r="B623" s="111">
        <f t="shared" si="72"/>
        <v>308.5</v>
      </c>
      <c r="C623" s="227">
        <f>C616+7*(C626-C616)/10</f>
        <v>96.73320000000001</v>
      </c>
      <c r="D623" s="93">
        <f>D616+7*(D626-D616)/10</f>
        <v>0.0014376600000000001</v>
      </c>
      <c r="E623" s="96">
        <f t="shared" si="80"/>
        <v>0.01737424</v>
      </c>
      <c r="F623" s="228">
        <f>F616+7*(F626-F616)/10</f>
        <v>0.0188119</v>
      </c>
      <c r="G623" s="98">
        <f>G616+7*(G626-G616)/10</f>
        <v>1393.7</v>
      </c>
      <c r="H623" s="98">
        <f t="shared" si="81"/>
        <v>1339.6299999999999</v>
      </c>
      <c r="I623" s="98">
        <f>I616+7*(I626-I616)/10</f>
        <v>2733.33</v>
      </c>
      <c r="J623" s="225">
        <f t="shared" si="73"/>
        <v>308.5</v>
      </c>
      <c r="K623" s="19"/>
    </row>
    <row r="624" spans="2:11" ht="12.75">
      <c r="B624" s="111">
        <f t="shared" si="72"/>
        <v>309</v>
      </c>
      <c r="C624" s="227">
        <f>C616+8*(C626-C616)/10</f>
        <v>97.3888</v>
      </c>
      <c r="D624" s="93">
        <f>D616+8*(D626-D616)/10</f>
        <v>0.00143944</v>
      </c>
      <c r="E624" s="96">
        <f t="shared" si="80"/>
        <v>0.017213159999999998</v>
      </c>
      <c r="F624" s="228">
        <f>F616+8*(F626-F616)/10</f>
        <v>0.0186526</v>
      </c>
      <c r="G624" s="98">
        <f>G616+8*(G626-G616)/10</f>
        <v>1396.6000000000001</v>
      </c>
      <c r="H624" s="98">
        <f t="shared" si="81"/>
        <v>1335.6199999999997</v>
      </c>
      <c r="I624" s="98">
        <f>I616+8*(I626-I616)/10</f>
        <v>2732.22</v>
      </c>
      <c r="J624" s="225">
        <f t="shared" si="73"/>
        <v>309</v>
      </c>
      <c r="K624" s="19"/>
    </row>
    <row r="625" spans="2:11" ht="12.75">
      <c r="B625" s="111">
        <f t="shared" si="72"/>
        <v>309.5</v>
      </c>
      <c r="C625" s="227">
        <f>C616+9*(C626-C616)/10</f>
        <v>98.0444</v>
      </c>
      <c r="D625" s="93">
        <f>D616+9*(D626-D616)/10</f>
        <v>0.00144122</v>
      </c>
      <c r="E625" s="96">
        <f t="shared" si="80"/>
        <v>0.01705208</v>
      </c>
      <c r="F625" s="228">
        <f>F616+9*(F626-F616)/10</f>
        <v>0.0184933</v>
      </c>
      <c r="G625" s="98">
        <f>G616+9*(G626-G616)/10</f>
        <v>1399.5</v>
      </c>
      <c r="H625" s="98">
        <f t="shared" si="81"/>
        <v>1331.6100000000001</v>
      </c>
      <c r="I625" s="98">
        <f>I616+9*(I626-I616)/10</f>
        <v>2731.11</v>
      </c>
      <c r="J625" s="225">
        <f t="shared" si="73"/>
        <v>309.5</v>
      </c>
      <c r="K625" s="19"/>
    </row>
    <row r="626" spans="2:11" ht="12.75">
      <c r="B626" s="111">
        <f t="shared" si="72"/>
        <v>310</v>
      </c>
      <c r="C626" s="227">
        <v>98.7</v>
      </c>
      <c r="D626" s="93">
        <v>0.001443</v>
      </c>
      <c r="E626" s="180">
        <f>F626-D626</f>
        <v>0.016891</v>
      </c>
      <c r="F626" s="180">
        <v>0.018334</v>
      </c>
      <c r="G626" s="180">
        <v>1402.4</v>
      </c>
      <c r="H626" s="180">
        <f>I626-G626</f>
        <v>1327.6</v>
      </c>
      <c r="I626" s="180">
        <v>2730</v>
      </c>
      <c r="J626" s="225">
        <f t="shared" si="73"/>
        <v>310</v>
      </c>
      <c r="K626" s="19"/>
    </row>
    <row r="627" spans="2:11" ht="12.75">
      <c r="B627" s="111">
        <f t="shared" si="72"/>
        <v>310.5</v>
      </c>
      <c r="C627" s="227">
        <f>C626+1*(C636-C626)/10</f>
        <v>99.391</v>
      </c>
      <c r="D627" s="93">
        <f>D626+1*(D636-D626)/10</f>
        <v>0.00144596</v>
      </c>
      <c r="E627" s="96">
        <f aca="true" t="shared" si="82" ref="E627:E635">F627-D627</f>
        <v>0.01674024</v>
      </c>
      <c r="F627" s="228">
        <f>F626+1*(F636-F626)/10</f>
        <v>0.0181862</v>
      </c>
      <c r="G627" s="98">
        <f>G626+1*(G636-G626)/10</f>
        <v>1405.3700000000001</v>
      </c>
      <c r="H627" s="98">
        <f aca="true" t="shared" si="83" ref="H627:H635">I627-G627</f>
        <v>1323.39</v>
      </c>
      <c r="I627" s="98">
        <f>I626+1*(I636-I626)/10</f>
        <v>2728.76</v>
      </c>
      <c r="J627" s="225">
        <f t="shared" si="73"/>
        <v>310.5</v>
      </c>
      <c r="K627" s="19"/>
    </row>
    <row r="628" spans="2:11" ht="12.75">
      <c r="B628" s="111">
        <f t="shared" si="72"/>
        <v>311</v>
      </c>
      <c r="C628" s="227">
        <f>C626+2*(C636-C626)/10</f>
        <v>100.08200000000001</v>
      </c>
      <c r="D628" s="93">
        <f>D626+2*(D636-D626)/10</f>
        <v>0.00144892</v>
      </c>
      <c r="E628" s="96">
        <f t="shared" si="82"/>
        <v>0.01658948</v>
      </c>
      <c r="F628" s="228">
        <f>F626+2*(F636-F626)/10</f>
        <v>0.0180384</v>
      </c>
      <c r="G628" s="98">
        <f>G626+2*(G636-G626)/10</f>
        <v>1408.3400000000001</v>
      </c>
      <c r="H628" s="98">
        <f t="shared" si="83"/>
        <v>1319.1799999999998</v>
      </c>
      <c r="I628" s="98">
        <f>I626+2*(I636-I626)/10</f>
        <v>2727.52</v>
      </c>
      <c r="J628" s="225">
        <f t="shared" si="73"/>
        <v>311</v>
      </c>
      <c r="K628" s="19"/>
    </row>
    <row r="629" spans="2:11" ht="12.75">
      <c r="B629" s="111">
        <f t="shared" si="72"/>
        <v>311.5</v>
      </c>
      <c r="C629" s="227">
        <f>C626+3*(C636-C626)/10</f>
        <v>100.773</v>
      </c>
      <c r="D629" s="93">
        <f>D626+3*(D636-D626)/10</f>
        <v>0.00145188</v>
      </c>
      <c r="E629" s="96">
        <f t="shared" si="82"/>
        <v>0.01643872</v>
      </c>
      <c r="F629" s="228">
        <f>F626+3*(F636-F626)/10</f>
        <v>0.0178906</v>
      </c>
      <c r="G629" s="98">
        <f>G626+3*(G636-G626)/10</f>
        <v>1411.31</v>
      </c>
      <c r="H629" s="98">
        <f t="shared" si="83"/>
        <v>1314.9699999999998</v>
      </c>
      <c r="I629" s="98">
        <f>I626+3*(I636-I626)/10</f>
        <v>2726.2799999999997</v>
      </c>
      <c r="J629" s="225">
        <f t="shared" si="73"/>
        <v>311.5</v>
      </c>
      <c r="K629" s="19"/>
    </row>
    <row r="630" spans="2:11" ht="12.75">
      <c r="B630" s="111">
        <f t="shared" si="72"/>
        <v>312</v>
      </c>
      <c r="C630" s="227">
        <f>C626+4*(C636-C626)/10</f>
        <v>101.464</v>
      </c>
      <c r="D630" s="93">
        <f>D626+4*(D636-D626)/10</f>
        <v>0.00145484</v>
      </c>
      <c r="E630" s="96">
        <f t="shared" si="82"/>
        <v>0.01628796</v>
      </c>
      <c r="F630" s="228">
        <f>F626+4*(F636-F626)/10</f>
        <v>0.0177428</v>
      </c>
      <c r="G630" s="98">
        <f>G626+4*(G636-G626)/10</f>
        <v>1414.28</v>
      </c>
      <c r="H630" s="98">
        <f t="shared" si="83"/>
        <v>1310.76</v>
      </c>
      <c r="I630" s="98">
        <f>I626+4*(I636-I626)/10</f>
        <v>2725.04</v>
      </c>
      <c r="J630" s="225">
        <f t="shared" si="73"/>
        <v>312</v>
      </c>
      <c r="K630" s="19"/>
    </row>
    <row r="631" spans="2:11" ht="12.75">
      <c r="B631" s="111">
        <f t="shared" si="72"/>
        <v>312.5</v>
      </c>
      <c r="C631" s="227">
        <f>C626+5*(C636-C626)/10</f>
        <v>102.155</v>
      </c>
      <c r="D631" s="93">
        <f>D626+5*(D636-D626)/10</f>
        <v>0.0014578</v>
      </c>
      <c r="E631" s="96">
        <f t="shared" si="82"/>
        <v>0.0161372</v>
      </c>
      <c r="F631" s="228">
        <f>F626+5*(F636-F626)/10</f>
        <v>0.017595</v>
      </c>
      <c r="G631" s="98">
        <f>G626+5*(G636-G626)/10</f>
        <v>1417.25</v>
      </c>
      <c r="H631" s="98">
        <f t="shared" si="83"/>
        <v>1306.5500000000002</v>
      </c>
      <c r="I631" s="98">
        <f>I626+5*(I636-I626)/10</f>
        <v>2723.8</v>
      </c>
      <c r="J631" s="225">
        <f t="shared" si="73"/>
        <v>312.5</v>
      </c>
      <c r="K631" s="19"/>
    </row>
    <row r="632" spans="2:11" ht="12.75">
      <c r="B632" s="111">
        <f t="shared" si="72"/>
        <v>313</v>
      </c>
      <c r="C632" s="227">
        <f>C626+6*(C636-C626)/10</f>
        <v>102.846</v>
      </c>
      <c r="D632" s="93">
        <f>D626+6*(D636-D626)/10</f>
        <v>0.00146076</v>
      </c>
      <c r="E632" s="96">
        <f t="shared" si="82"/>
        <v>0.01598644</v>
      </c>
      <c r="F632" s="228">
        <f>F626+6*(F636-F626)/10</f>
        <v>0.0174472</v>
      </c>
      <c r="G632" s="98">
        <f>G626+6*(G636-G626)/10</f>
        <v>1420.22</v>
      </c>
      <c r="H632" s="98">
        <f t="shared" si="83"/>
        <v>1302.34</v>
      </c>
      <c r="I632" s="98">
        <f>I626+6*(I636-I626)/10</f>
        <v>2722.56</v>
      </c>
      <c r="J632" s="225">
        <f t="shared" si="73"/>
        <v>313</v>
      </c>
      <c r="K632" s="19"/>
    </row>
    <row r="633" spans="2:11" ht="12.75">
      <c r="B633" s="111">
        <f t="shared" si="72"/>
        <v>313.5</v>
      </c>
      <c r="C633" s="227">
        <f>C626+7*(C636-C626)/10</f>
        <v>103.537</v>
      </c>
      <c r="D633" s="93">
        <f>D626+7*(D636-D626)/10</f>
        <v>0.00146372</v>
      </c>
      <c r="E633" s="96">
        <f t="shared" si="82"/>
        <v>0.015835679999999998</v>
      </c>
      <c r="F633" s="228">
        <f>F626+7*(F636-F626)/10</f>
        <v>0.0172994</v>
      </c>
      <c r="G633" s="98">
        <f>G626+7*(G636-G626)/10</f>
        <v>1423.19</v>
      </c>
      <c r="H633" s="98">
        <f t="shared" si="83"/>
        <v>1298.1299999999997</v>
      </c>
      <c r="I633" s="98">
        <f>I626+7*(I636-I626)/10</f>
        <v>2721.3199999999997</v>
      </c>
      <c r="J633" s="225">
        <f t="shared" si="73"/>
        <v>313.5</v>
      </c>
      <c r="K633" s="19"/>
    </row>
    <row r="634" spans="2:11" ht="12.75">
      <c r="B634" s="111">
        <f t="shared" si="72"/>
        <v>314</v>
      </c>
      <c r="C634" s="227">
        <f>C626+8*(C636-C626)/10</f>
        <v>104.228</v>
      </c>
      <c r="D634" s="93">
        <f>D626+8*(D636-D626)/10</f>
        <v>0.00146668</v>
      </c>
      <c r="E634" s="96">
        <f t="shared" si="82"/>
        <v>0.015684919999999998</v>
      </c>
      <c r="F634" s="228">
        <f>F626+8*(F636-F626)/10</f>
        <v>0.0171516</v>
      </c>
      <c r="G634" s="98">
        <f>G626+8*(G636-G626)/10</f>
        <v>1426.1599999999999</v>
      </c>
      <c r="H634" s="98">
        <f t="shared" si="83"/>
        <v>1293.92</v>
      </c>
      <c r="I634" s="98">
        <f>I626+8*(I636-I626)/10</f>
        <v>2720.08</v>
      </c>
      <c r="J634" s="225">
        <f t="shared" si="73"/>
        <v>314</v>
      </c>
      <c r="K634" s="19"/>
    </row>
    <row r="635" spans="2:11" ht="12.75">
      <c r="B635" s="111">
        <f t="shared" si="72"/>
        <v>314.5</v>
      </c>
      <c r="C635" s="227">
        <f>C626+9*(C636-C626)/10</f>
        <v>104.919</v>
      </c>
      <c r="D635" s="93">
        <f>D626+9*(D636-D626)/10</f>
        <v>0.00146964</v>
      </c>
      <c r="E635" s="96">
        <f t="shared" si="82"/>
        <v>0.01553416</v>
      </c>
      <c r="F635" s="228">
        <f>F626+9*(F636-F626)/10</f>
        <v>0.0170038</v>
      </c>
      <c r="G635" s="98">
        <f>G626+9*(G636-G626)/10</f>
        <v>1429.1299999999999</v>
      </c>
      <c r="H635" s="98">
        <f t="shared" si="83"/>
        <v>1289.7100000000003</v>
      </c>
      <c r="I635" s="98">
        <f>I626+9*(I636-I626)/10</f>
        <v>2718.84</v>
      </c>
      <c r="J635" s="225">
        <f t="shared" si="73"/>
        <v>314.5</v>
      </c>
      <c r="K635" s="19"/>
    </row>
    <row r="636" spans="2:11" ht="12.75">
      <c r="B636" s="111">
        <f t="shared" si="72"/>
        <v>315</v>
      </c>
      <c r="C636" s="227">
        <v>105.61</v>
      </c>
      <c r="D636" s="93">
        <v>0.0014726</v>
      </c>
      <c r="E636" s="180">
        <f>F636-D636</f>
        <v>0.0153834</v>
      </c>
      <c r="F636" s="180">
        <v>0.016856</v>
      </c>
      <c r="G636" s="180">
        <v>1432.1</v>
      </c>
      <c r="H636" s="180">
        <f>I636-G636</f>
        <v>1285.5</v>
      </c>
      <c r="I636" s="180">
        <v>2717.6</v>
      </c>
      <c r="J636" s="225">
        <f t="shared" si="73"/>
        <v>315</v>
      </c>
      <c r="K636" s="19"/>
    </row>
    <row r="637" spans="2:11" ht="12.75">
      <c r="B637" s="111">
        <f t="shared" si="72"/>
        <v>315.5</v>
      </c>
      <c r="C637" s="227">
        <f>C636+1*(C646-C636)/10</f>
        <v>106.338</v>
      </c>
      <c r="D637" s="93">
        <f>D636+1*(D646-D636)/10</f>
        <v>0.00147529</v>
      </c>
      <c r="E637" s="96">
        <f aca="true" t="shared" si="84" ref="E637:E645">F637-D637</f>
        <v>0.01524311</v>
      </c>
      <c r="F637" s="228">
        <f>F636+1*(F646-F636)/10</f>
        <v>0.0167184</v>
      </c>
      <c r="G637" s="98">
        <f>G636+1*(G646-G636)/10</f>
        <v>1435.1499999999999</v>
      </c>
      <c r="H637" s="98">
        <f aca="true" t="shared" si="85" ref="H637:H645">I637-G637</f>
        <v>1281.0600000000002</v>
      </c>
      <c r="I637" s="98">
        <f>I636+1*(I646-I636)/10</f>
        <v>2716.21</v>
      </c>
      <c r="J637" s="225">
        <f t="shared" si="73"/>
        <v>315.5</v>
      </c>
      <c r="K637" s="19"/>
    </row>
    <row r="638" spans="2:11" ht="12.75">
      <c r="B638" s="111">
        <f t="shared" si="72"/>
        <v>316</v>
      </c>
      <c r="C638" s="227">
        <f>C636+2*(C646-C636)/10</f>
        <v>107.066</v>
      </c>
      <c r="D638" s="93">
        <f>D636+2*(D646-D636)/10</f>
        <v>0.0014779799999999998</v>
      </c>
      <c r="E638" s="96">
        <f t="shared" si="84"/>
        <v>0.01510282</v>
      </c>
      <c r="F638" s="228">
        <f>F636+2*(F646-F636)/10</f>
        <v>0.0165808</v>
      </c>
      <c r="G638" s="98">
        <f>G636+2*(G646-G636)/10</f>
        <v>1438.1999999999998</v>
      </c>
      <c r="H638" s="98">
        <f t="shared" si="85"/>
        <v>1276.62</v>
      </c>
      <c r="I638" s="98">
        <f>I636+2*(I646-I636)/10</f>
        <v>2714.8199999999997</v>
      </c>
      <c r="J638" s="225">
        <f t="shared" si="73"/>
        <v>316</v>
      </c>
      <c r="K638" s="19"/>
    </row>
    <row r="639" spans="2:11" ht="12.75">
      <c r="B639" s="111">
        <f t="shared" si="72"/>
        <v>316.5</v>
      </c>
      <c r="C639" s="227">
        <f>C636+3*(C646-C636)/10</f>
        <v>107.794</v>
      </c>
      <c r="D639" s="93">
        <f>D636+3*(D646-D636)/10</f>
        <v>0.00148067</v>
      </c>
      <c r="E639" s="96">
        <f t="shared" si="84"/>
        <v>0.014962529999999998</v>
      </c>
      <c r="F639" s="228">
        <f>F636+3*(F646-F636)/10</f>
        <v>0.016443199999999998</v>
      </c>
      <c r="G639" s="98">
        <f>G636+3*(G646-G636)/10</f>
        <v>1441.25</v>
      </c>
      <c r="H639" s="98">
        <f t="shared" si="85"/>
        <v>1272.1799999999998</v>
      </c>
      <c r="I639" s="98">
        <f>I636+3*(I646-I636)/10</f>
        <v>2713.43</v>
      </c>
      <c r="J639" s="225">
        <f t="shared" si="73"/>
        <v>316.5</v>
      </c>
      <c r="K639" s="19"/>
    </row>
    <row r="640" spans="2:11" ht="12.75">
      <c r="B640" s="111">
        <f t="shared" si="72"/>
        <v>317</v>
      </c>
      <c r="C640" s="227">
        <f>C636+4*(C646-C636)/10</f>
        <v>108.522</v>
      </c>
      <c r="D640" s="93">
        <f>D636+4*(D646-D636)/10</f>
        <v>0.00148336</v>
      </c>
      <c r="E640" s="96">
        <f t="shared" si="84"/>
        <v>0.01482224</v>
      </c>
      <c r="F640" s="228">
        <f>F636+4*(F646-F636)/10</f>
        <v>0.0163056</v>
      </c>
      <c r="G640" s="98">
        <f>G636+4*(G646-G636)/10</f>
        <v>1444.3</v>
      </c>
      <c r="H640" s="98">
        <f t="shared" si="85"/>
        <v>1267.74</v>
      </c>
      <c r="I640" s="98">
        <f>I636+4*(I646-I636)/10</f>
        <v>2712.04</v>
      </c>
      <c r="J640" s="225">
        <f t="shared" si="73"/>
        <v>317</v>
      </c>
      <c r="K640" s="19"/>
    </row>
    <row r="641" spans="2:11" ht="12.75">
      <c r="B641" s="111">
        <f t="shared" si="72"/>
        <v>317.5</v>
      </c>
      <c r="C641" s="227">
        <f>C636+5*(C646-C636)/10</f>
        <v>109.25</v>
      </c>
      <c r="D641" s="93">
        <f>D636+5*(D646-D636)/10</f>
        <v>0.00148605</v>
      </c>
      <c r="E641" s="96">
        <f t="shared" si="84"/>
        <v>0.014681950000000003</v>
      </c>
      <c r="F641" s="228">
        <f>F636+5*(F646-F636)/10</f>
        <v>0.016168000000000002</v>
      </c>
      <c r="G641" s="98">
        <f>G636+5*(G646-G636)/10</f>
        <v>1447.35</v>
      </c>
      <c r="H641" s="98">
        <f t="shared" si="85"/>
        <v>1263.2999999999997</v>
      </c>
      <c r="I641" s="98">
        <f>I636+5*(I646-I636)/10</f>
        <v>2710.6499999999996</v>
      </c>
      <c r="J641" s="225">
        <f t="shared" si="73"/>
        <v>317.5</v>
      </c>
      <c r="K641" s="19"/>
    </row>
    <row r="642" spans="2:11" ht="12.75">
      <c r="B642" s="111">
        <f t="shared" si="72"/>
        <v>318</v>
      </c>
      <c r="C642" s="227">
        <f>C636+6*(C646-C636)/10</f>
        <v>109.978</v>
      </c>
      <c r="D642" s="93">
        <f>D636+6*(D646-D636)/10</f>
        <v>0.00148874</v>
      </c>
      <c r="E642" s="96">
        <f t="shared" si="84"/>
        <v>0.01454166</v>
      </c>
      <c r="F642" s="228">
        <f>F636+6*(F646-F636)/10</f>
        <v>0.0160304</v>
      </c>
      <c r="G642" s="98">
        <f>G636+6*(G646-G636)/10</f>
        <v>1450.3999999999999</v>
      </c>
      <c r="H642" s="98">
        <f t="shared" si="85"/>
        <v>1258.86</v>
      </c>
      <c r="I642" s="98">
        <f>I636+6*(I646-I636)/10</f>
        <v>2709.2599999999998</v>
      </c>
      <c r="J642" s="225">
        <f t="shared" si="73"/>
        <v>318</v>
      </c>
      <c r="K642" s="19"/>
    </row>
    <row r="643" spans="2:11" ht="12.75">
      <c r="B643" s="111">
        <f t="shared" si="72"/>
        <v>318.5</v>
      </c>
      <c r="C643" s="227">
        <f>C636+7*(C646-C636)/10</f>
        <v>110.706</v>
      </c>
      <c r="D643" s="93">
        <f>D636+7*(D646-D636)/10</f>
        <v>0.00149143</v>
      </c>
      <c r="E643" s="96">
        <f t="shared" si="84"/>
        <v>0.014401369999999998</v>
      </c>
      <c r="F643" s="228">
        <f>F636+7*(F646-F636)/10</f>
        <v>0.0158928</v>
      </c>
      <c r="G643" s="98">
        <f>G636+7*(G646-G636)/10</f>
        <v>1453.4499999999998</v>
      </c>
      <c r="H643" s="98">
        <f t="shared" si="85"/>
        <v>1254.42</v>
      </c>
      <c r="I643" s="98">
        <f>I636+7*(I646-I636)/10</f>
        <v>2707.87</v>
      </c>
      <c r="J643" s="225">
        <f t="shared" si="73"/>
        <v>318.5</v>
      </c>
      <c r="K643" s="19"/>
    </row>
    <row r="644" spans="2:11" ht="12.75">
      <c r="B644" s="111">
        <f t="shared" si="72"/>
        <v>319</v>
      </c>
      <c r="C644" s="227">
        <f>C636+8*(C646-C636)/10</f>
        <v>111.434</v>
      </c>
      <c r="D644" s="93">
        <f>D636+8*(D646-D636)/10</f>
        <v>0.00149412</v>
      </c>
      <c r="E644" s="96">
        <f t="shared" si="84"/>
        <v>0.01426108</v>
      </c>
      <c r="F644" s="228">
        <f>F636+8*(F646-F636)/10</f>
        <v>0.0157552</v>
      </c>
      <c r="G644" s="98">
        <f>G636+8*(G646-G636)/10</f>
        <v>1456.5</v>
      </c>
      <c r="H644" s="98">
        <f t="shared" si="85"/>
        <v>1249.98</v>
      </c>
      <c r="I644" s="98">
        <f>I636+8*(I646-I636)/10</f>
        <v>2706.48</v>
      </c>
      <c r="J644" s="225">
        <f t="shared" si="73"/>
        <v>319</v>
      </c>
      <c r="K644" s="19"/>
    </row>
    <row r="645" spans="2:11" ht="12.75">
      <c r="B645" s="111">
        <f t="shared" si="72"/>
        <v>319.5</v>
      </c>
      <c r="C645" s="227">
        <f>C636+9*(C646-C636)/10</f>
        <v>112.162</v>
      </c>
      <c r="D645" s="93">
        <f>D636+9*(D646-D636)/10</f>
        <v>0.00149681</v>
      </c>
      <c r="E645" s="96">
        <f t="shared" si="84"/>
        <v>0.014120790000000001</v>
      </c>
      <c r="F645" s="228">
        <f>F636+9*(F646-F636)/10</f>
        <v>0.0156176</v>
      </c>
      <c r="G645" s="98">
        <f>G636+9*(G646-G636)/10</f>
        <v>1459.55</v>
      </c>
      <c r="H645" s="98">
        <f t="shared" si="85"/>
        <v>1245.5399999999997</v>
      </c>
      <c r="I645" s="98">
        <f>I636+9*(I646-I636)/10</f>
        <v>2705.0899999999997</v>
      </c>
      <c r="J645" s="225">
        <f t="shared" si="73"/>
        <v>319.5</v>
      </c>
      <c r="K645" s="19"/>
    </row>
    <row r="646" spans="2:11" ht="12.75">
      <c r="B646" s="111">
        <f t="shared" si="72"/>
        <v>320</v>
      </c>
      <c r="C646" s="227">
        <v>112.89</v>
      </c>
      <c r="D646" s="93">
        <v>0.0014995</v>
      </c>
      <c r="E646" s="180">
        <f>F646-D646</f>
        <v>0.0139805</v>
      </c>
      <c r="F646" s="180">
        <v>0.01548</v>
      </c>
      <c r="G646" s="180">
        <v>1462.6</v>
      </c>
      <c r="H646" s="180">
        <f>I646-G646</f>
        <v>1241.1</v>
      </c>
      <c r="I646" s="180">
        <v>2703.7</v>
      </c>
      <c r="J646" s="225">
        <f t="shared" si="73"/>
        <v>320</v>
      </c>
      <c r="K646" s="19"/>
    </row>
    <row r="647" spans="2:11" ht="12.75">
      <c r="B647" s="111">
        <f t="shared" si="72"/>
        <v>320.5</v>
      </c>
      <c r="C647" s="227">
        <f>C646+1*(C656-C646)/10</f>
        <v>113.657</v>
      </c>
      <c r="D647" s="93">
        <f>D646+1*(D656-D646)/10</f>
        <v>0.0015024399999999999</v>
      </c>
      <c r="E647" s="96">
        <f aca="true" t="shared" si="86" ref="E647:E655">F647-D647</f>
        <v>0.01384906</v>
      </c>
      <c r="F647" s="228">
        <f>F646+1*(F656-F646)/10</f>
        <v>0.0153515</v>
      </c>
      <c r="G647" s="98">
        <f>G646+1*(G656-G646)/10</f>
        <v>1465.74</v>
      </c>
      <c r="H647" s="98">
        <f aca="true" t="shared" si="87" ref="H647:H655">I647-G647</f>
        <v>1236.3899999999996</v>
      </c>
      <c r="I647" s="98">
        <f>I646+1*(I656-I646)/10</f>
        <v>2702.1299999999997</v>
      </c>
      <c r="J647" s="225">
        <f t="shared" si="73"/>
        <v>320.5</v>
      </c>
      <c r="K647" s="19"/>
    </row>
    <row r="648" spans="2:11" ht="12.75">
      <c r="B648" s="111">
        <f aca="true" t="shared" si="88" ref="B648:B711">B647+0.5</f>
        <v>321</v>
      </c>
      <c r="C648" s="227">
        <f>C646+2*(C656-C646)/10</f>
        <v>114.424</v>
      </c>
      <c r="D648" s="93">
        <f>D646+2*(D656-D646)/10</f>
        <v>0.00150538</v>
      </c>
      <c r="E648" s="96">
        <f t="shared" si="86"/>
        <v>0.01371762</v>
      </c>
      <c r="F648" s="228">
        <f>F646+2*(F656-F646)/10</f>
        <v>0.015223</v>
      </c>
      <c r="G648" s="98">
        <f>G646+2*(G656-G646)/10</f>
        <v>1468.8799999999999</v>
      </c>
      <c r="H648" s="98">
        <f t="shared" si="87"/>
        <v>1231.68</v>
      </c>
      <c r="I648" s="98">
        <f>I646+2*(I656-I646)/10</f>
        <v>2700.56</v>
      </c>
      <c r="J648" s="225">
        <f aca="true" t="shared" si="89" ref="J648:J711">J647+0.5</f>
        <v>321</v>
      </c>
      <c r="K648" s="19"/>
    </row>
    <row r="649" spans="2:11" ht="12.75">
      <c r="B649" s="111">
        <f t="shared" si="88"/>
        <v>321.5</v>
      </c>
      <c r="C649" s="227">
        <f>C646+3*(C656-C646)/10</f>
        <v>115.191</v>
      </c>
      <c r="D649" s="93">
        <f>D646+3*(D656-D646)/10</f>
        <v>0.00150832</v>
      </c>
      <c r="E649" s="96">
        <f t="shared" si="86"/>
        <v>0.01358618</v>
      </c>
      <c r="F649" s="228">
        <f>F646+3*(F656-F646)/10</f>
        <v>0.0150945</v>
      </c>
      <c r="G649" s="98">
        <f>G646+3*(G656-G646)/10</f>
        <v>1472.02</v>
      </c>
      <c r="H649" s="98">
        <f t="shared" si="87"/>
        <v>1226.9699999999998</v>
      </c>
      <c r="I649" s="98">
        <f>I646+3*(I656-I646)/10</f>
        <v>2698.99</v>
      </c>
      <c r="J649" s="225">
        <f t="shared" si="89"/>
        <v>321.5</v>
      </c>
      <c r="K649" s="19"/>
    </row>
    <row r="650" spans="2:11" ht="12.75">
      <c r="B650" s="111">
        <f t="shared" si="88"/>
        <v>322</v>
      </c>
      <c r="C650" s="227">
        <f>C646+4*(C656-C646)/10</f>
        <v>115.958</v>
      </c>
      <c r="D650" s="93">
        <f>D646+4*(D656-D646)/10</f>
        <v>0.00151126</v>
      </c>
      <c r="E650" s="96">
        <f t="shared" si="86"/>
        <v>0.01345474</v>
      </c>
      <c r="F650" s="228">
        <f>F646+4*(F656-F646)/10</f>
        <v>0.014966</v>
      </c>
      <c r="G650" s="98">
        <f>G646+4*(G656-G646)/10</f>
        <v>1475.1599999999999</v>
      </c>
      <c r="H650" s="98">
        <f t="shared" si="87"/>
        <v>1222.2600000000002</v>
      </c>
      <c r="I650" s="98">
        <f>I646+4*(I656-I646)/10</f>
        <v>2697.42</v>
      </c>
      <c r="J650" s="225">
        <f t="shared" si="89"/>
        <v>322</v>
      </c>
      <c r="K650" s="19"/>
    </row>
    <row r="651" spans="2:11" ht="12.75">
      <c r="B651" s="111">
        <f t="shared" si="88"/>
        <v>322.5</v>
      </c>
      <c r="C651" s="227">
        <f>C646+5*(C656-C646)/10</f>
        <v>116.725</v>
      </c>
      <c r="D651" s="93">
        <f>D646+5*(D656-D646)/10</f>
        <v>0.0015141999999999998</v>
      </c>
      <c r="E651" s="96">
        <f t="shared" si="86"/>
        <v>0.0133233</v>
      </c>
      <c r="F651" s="228">
        <f>F646+5*(F656-F646)/10</f>
        <v>0.0148375</v>
      </c>
      <c r="G651" s="98">
        <f>G646+5*(G656-G646)/10</f>
        <v>1478.3</v>
      </c>
      <c r="H651" s="98">
        <f t="shared" si="87"/>
        <v>1217.55</v>
      </c>
      <c r="I651" s="98">
        <f>I646+5*(I656-I646)/10</f>
        <v>2695.85</v>
      </c>
      <c r="J651" s="225">
        <f t="shared" si="89"/>
        <v>322.5</v>
      </c>
      <c r="K651" s="19"/>
    </row>
    <row r="652" spans="2:11" ht="12.75">
      <c r="B652" s="111">
        <f t="shared" si="88"/>
        <v>323</v>
      </c>
      <c r="C652" s="227">
        <f>C646+6*(C656-C646)/10</f>
        <v>117.492</v>
      </c>
      <c r="D652" s="93">
        <f>D646+6*(D656-D646)/10</f>
        <v>0.00151714</v>
      </c>
      <c r="E652" s="96">
        <f t="shared" si="86"/>
        <v>0.01319186</v>
      </c>
      <c r="F652" s="228">
        <f>F646+6*(F656-F646)/10</f>
        <v>0.014709</v>
      </c>
      <c r="G652" s="98">
        <f>G646+6*(G656-G646)/10</f>
        <v>1481.44</v>
      </c>
      <c r="H652" s="98">
        <f t="shared" si="87"/>
        <v>1212.8399999999997</v>
      </c>
      <c r="I652" s="98">
        <f>I646+6*(I656-I646)/10</f>
        <v>2694.2799999999997</v>
      </c>
      <c r="J652" s="225">
        <f t="shared" si="89"/>
        <v>323</v>
      </c>
      <c r="K652" s="19"/>
    </row>
    <row r="653" spans="2:11" ht="12.75">
      <c r="B653" s="111">
        <f t="shared" si="88"/>
        <v>323.5</v>
      </c>
      <c r="C653" s="227">
        <f>C646+7*(C656-C646)/10</f>
        <v>118.259</v>
      </c>
      <c r="D653" s="93">
        <f>D646+7*(D656-D646)/10</f>
        <v>0.00152008</v>
      </c>
      <c r="E653" s="96">
        <f t="shared" si="86"/>
        <v>0.01306042</v>
      </c>
      <c r="F653" s="228">
        <f>F646+7*(F656-F646)/10</f>
        <v>0.0145805</v>
      </c>
      <c r="G653" s="98">
        <f>G646+7*(G656-G646)/10</f>
        <v>1484.58</v>
      </c>
      <c r="H653" s="98">
        <f t="shared" si="87"/>
        <v>1208.13</v>
      </c>
      <c r="I653" s="98">
        <f>I646+7*(I656-I646)/10</f>
        <v>2692.71</v>
      </c>
      <c r="J653" s="225">
        <f t="shared" si="89"/>
        <v>323.5</v>
      </c>
      <c r="K653" s="19"/>
    </row>
    <row r="654" spans="2:11" ht="12.75">
      <c r="B654" s="111">
        <f t="shared" si="88"/>
        <v>324</v>
      </c>
      <c r="C654" s="227">
        <f>C646+8*(C656-C646)/10</f>
        <v>119.026</v>
      </c>
      <c r="D654" s="93">
        <f>D646+8*(D656-D646)/10</f>
        <v>0.00152302</v>
      </c>
      <c r="E654" s="96">
        <f t="shared" si="86"/>
        <v>0.01292898</v>
      </c>
      <c r="F654" s="228">
        <f>F646+8*(F656-F646)/10</f>
        <v>0.014452</v>
      </c>
      <c r="G654" s="98">
        <f>G646+8*(G656-G646)/10</f>
        <v>1487.72</v>
      </c>
      <c r="H654" s="98">
        <f t="shared" si="87"/>
        <v>1203.4199999999998</v>
      </c>
      <c r="I654" s="98">
        <f>I646+8*(I656-I646)/10</f>
        <v>2691.14</v>
      </c>
      <c r="J654" s="225">
        <f t="shared" si="89"/>
        <v>324</v>
      </c>
      <c r="K654" s="19"/>
    </row>
    <row r="655" spans="2:11" ht="12.75">
      <c r="B655" s="111">
        <f t="shared" si="88"/>
        <v>324.5</v>
      </c>
      <c r="C655" s="227">
        <f>C646+9*(C656-C646)/10</f>
        <v>119.793</v>
      </c>
      <c r="D655" s="93">
        <f>D646+9*(D656-D646)/10</f>
        <v>0.0015259599999999998</v>
      </c>
      <c r="E655" s="96">
        <f t="shared" si="86"/>
        <v>0.01279754</v>
      </c>
      <c r="F655" s="228">
        <f>F646+9*(F656-F646)/10</f>
        <v>0.0143235</v>
      </c>
      <c r="G655" s="98">
        <f>G646+9*(G656-G646)/10</f>
        <v>1490.86</v>
      </c>
      <c r="H655" s="98">
        <f t="shared" si="87"/>
        <v>1198.7100000000003</v>
      </c>
      <c r="I655" s="98">
        <f>I646+9*(I656-I646)/10</f>
        <v>2689.57</v>
      </c>
      <c r="J655" s="225">
        <f t="shared" si="89"/>
        <v>324.5</v>
      </c>
      <c r="K655" s="19"/>
    </row>
    <row r="656" spans="2:11" ht="12.75">
      <c r="B656" s="111">
        <f t="shared" si="88"/>
        <v>325</v>
      </c>
      <c r="C656" s="227">
        <v>120.56</v>
      </c>
      <c r="D656" s="93">
        <v>0.0015289</v>
      </c>
      <c r="E656" s="180">
        <f>F656-D656</f>
        <v>0.0126661</v>
      </c>
      <c r="F656" s="180">
        <v>0.014195</v>
      </c>
      <c r="G656" s="180">
        <v>1494</v>
      </c>
      <c r="H656" s="180">
        <f>I656-G656</f>
        <v>1194</v>
      </c>
      <c r="I656" s="180">
        <v>2688</v>
      </c>
      <c r="J656" s="225">
        <f t="shared" si="89"/>
        <v>325</v>
      </c>
      <c r="K656" s="19"/>
    </row>
    <row r="657" spans="2:11" ht="12.75">
      <c r="B657" s="111">
        <f t="shared" si="88"/>
        <v>325.5</v>
      </c>
      <c r="C657" s="227">
        <f>C656+1*(C666-C656)/10</f>
        <v>121.367</v>
      </c>
      <c r="D657" s="93">
        <f>D656+1*(D666-D656)/10</f>
        <v>0.0015321599999999999</v>
      </c>
      <c r="E657" s="96">
        <f aca="true" t="shared" si="90" ref="E657:E665">F657-D657</f>
        <v>0.01254224</v>
      </c>
      <c r="F657" s="228">
        <f>F656+1*(F666-F656)/10</f>
        <v>0.014074399999999999</v>
      </c>
      <c r="G657" s="98">
        <f>G656+1*(G666-G656)/10</f>
        <v>1497.25</v>
      </c>
      <c r="H657" s="98">
        <f aca="true" t="shared" si="91" ref="H657:H665">I657-G657</f>
        <v>1188.9699999999998</v>
      </c>
      <c r="I657" s="98">
        <f>I656+1*(I666-I656)/10</f>
        <v>2686.22</v>
      </c>
      <c r="J657" s="225">
        <f t="shared" si="89"/>
        <v>325.5</v>
      </c>
      <c r="K657" s="19"/>
    </row>
    <row r="658" spans="2:11" ht="12.75">
      <c r="B658" s="111">
        <f t="shared" si="88"/>
        <v>326</v>
      </c>
      <c r="C658" s="227">
        <f>C656+2*(C666-C656)/10</f>
        <v>122.174</v>
      </c>
      <c r="D658" s="93">
        <f>D656+2*(D666-D656)/10</f>
        <v>0.00153542</v>
      </c>
      <c r="E658" s="96">
        <f t="shared" si="90"/>
        <v>0.01241838</v>
      </c>
      <c r="F658" s="228">
        <f>F656+2*(F666-F656)/10</f>
        <v>0.013953799999999999</v>
      </c>
      <c r="G658" s="98">
        <f>G656+2*(G666-G656)/10</f>
        <v>1500.5</v>
      </c>
      <c r="H658" s="98">
        <f t="shared" si="91"/>
        <v>1183.94</v>
      </c>
      <c r="I658" s="98">
        <f>I656+2*(I666-I656)/10</f>
        <v>2684.44</v>
      </c>
      <c r="J658" s="225">
        <f t="shared" si="89"/>
        <v>326</v>
      </c>
      <c r="K658" s="19"/>
    </row>
    <row r="659" spans="2:11" ht="12.75">
      <c r="B659" s="111">
        <f t="shared" si="88"/>
        <v>326.5</v>
      </c>
      <c r="C659" s="227">
        <f>C656+3*(C666-C656)/10</f>
        <v>122.981</v>
      </c>
      <c r="D659" s="93">
        <f>D656+3*(D666-D656)/10</f>
        <v>0.00153868</v>
      </c>
      <c r="E659" s="96">
        <f t="shared" si="90"/>
        <v>0.01229452</v>
      </c>
      <c r="F659" s="228">
        <f>F656+3*(F666-F656)/10</f>
        <v>0.0138332</v>
      </c>
      <c r="G659" s="98">
        <f>G656+3*(G666-G656)/10</f>
        <v>1503.75</v>
      </c>
      <c r="H659" s="98">
        <f t="shared" si="91"/>
        <v>1178.9099999999999</v>
      </c>
      <c r="I659" s="98">
        <f>I656+3*(I666-I656)/10</f>
        <v>2682.66</v>
      </c>
      <c r="J659" s="225">
        <f t="shared" si="89"/>
        <v>326.5</v>
      </c>
      <c r="K659" s="19"/>
    </row>
    <row r="660" spans="2:11" ht="12.75">
      <c r="B660" s="111">
        <f t="shared" si="88"/>
        <v>327</v>
      </c>
      <c r="C660" s="227">
        <f>C656+4*(C666-C656)/10</f>
        <v>123.788</v>
      </c>
      <c r="D660" s="93">
        <f>D656+4*(D666-D656)/10</f>
        <v>0.0015419399999999999</v>
      </c>
      <c r="E660" s="96">
        <f t="shared" si="90"/>
        <v>0.01217066</v>
      </c>
      <c r="F660" s="228">
        <f>F656+4*(F666-F656)/10</f>
        <v>0.0137126</v>
      </c>
      <c r="G660" s="98">
        <f>G656+4*(G666-G656)/10</f>
        <v>1507</v>
      </c>
      <c r="H660" s="98">
        <f t="shared" si="91"/>
        <v>1173.88</v>
      </c>
      <c r="I660" s="98">
        <f>I656+4*(I666-I656)/10</f>
        <v>2680.88</v>
      </c>
      <c r="J660" s="225">
        <f t="shared" si="89"/>
        <v>327</v>
      </c>
      <c r="K660" s="19"/>
    </row>
    <row r="661" spans="2:11" ht="12.75">
      <c r="B661" s="111">
        <f t="shared" si="88"/>
        <v>327.5</v>
      </c>
      <c r="C661" s="227">
        <f>C656+5*(C666-C656)/10</f>
        <v>124.595</v>
      </c>
      <c r="D661" s="93">
        <f>D656+5*(D666-D656)/10</f>
        <v>0.0015452</v>
      </c>
      <c r="E661" s="96">
        <f t="shared" si="90"/>
        <v>0.0120468</v>
      </c>
      <c r="F661" s="228">
        <f>F656+5*(F666-F656)/10</f>
        <v>0.013592</v>
      </c>
      <c r="G661" s="98">
        <f>G656+5*(G666-G656)/10</f>
        <v>1510.25</v>
      </c>
      <c r="H661" s="98">
        <f t="shared" si="91"/>
        <v>1168.85</v>
      </c>
      <c r="I661" s="98">
        <f>I656+5*(I666-I656)/10</f>
        <v>2679.1</v>
      </c>
      <c r="J661" s="225">
        <f t="shared" si="89"/>
        <v>327.5</v>
      </c>
      <c r="K661" s="19"/>
    </row>
    <row r="662" spans="2:11" ht="12.75">
      <c r="B662" s="111">
        <f t="shared" si="88"/>
        <v>328</v>
      </c>
      <c r="C662" s="227">
        <f>C656+6*(C666-C656)/10</f>
        <v>125.402</v>
      </c>
      <c r="D662" s="93">
        <f>D656+6*(D666-D656)/10</f>
        <v>0.00154846</v>
      </c>
      <c r="E662" s="96">
        <f t="shared" si="90"/>
        <v>0.01192294</v>
      </c>
      <c r="F662" s="228">
        <f>F656+6*(F666-F656)/10</f>
        <v>0.0134714</v>
      </c>
      <c r="G662" s="98">
        <f>G656+6*(G666-G656)/10</f>
        <v>1513.5</v>
      </c>
      <c r="H662" s="98">
        <f t="shared" si="91"/>
        <v>1163.8199999999997</v>
      </c>
      <c r="I662" s="98">
        <f>I656+6*(I666-I656)/10</f>
        <v>2677.3199999999997</v>
      </c>
      <c r="J662" s="225">
        <f t="shared" si="89"/>
        <v>328</v>
      </c>
      <c r="K662" s="19"/>
    </row>
    <row r="663" spans="2:11" ht="12.75">
      <c r="B663" s="111">
        <f t="shared" si="88"/>
        <v>328.5</v>
      </c>
      <c r="C663" s="227">
        <f>C656+7*(C666-C656)/10</f>
        <v>126.209</v>
      </c>
      <c r="D663" s="93">
        <f>D656+7*(D666-D656)/10</f>
        <v>0.00155172</v>
      </c>
      <c r="E663" s="96">
        <f t="shared" si="90"/>
        <v>0.01179908</v>
      </c>
      <c r="F663" s="228">
        <f>F656+7*(F666-F656)/10</f>
        <v>0.0133508</v>
      </c>
      <c r="G663" s="98">
        <f>G656+7*(G666-G656)/10</f>
        <v>1516.75</v>
      </c>
      <c r="H663" s="98">
        <f t="shared" si="91"/>
        <v>1158.79</v>
      </c>
      <c r="I663" s="98">
        <f>I656+7*(I666-I656)/10</f>
        <v>2675.54</v>
      </c>
      <c r="J663" s="225">
        <f t="shared" si="89"/>
        <v>328.5</v>
      </c>
      <c r="K663" s="19"/>
    </row>
    <row r="664" spans="2:11" ht="12.75">
      <c r="B664" s="111">
        <f t="shared" si="88"/>
        <v>329</v>
      </c>
      <c r="C664" s="227">
        <f>C656+8*(C666-C656)/10</f>
        <v>127.01599999999999</v>
      </c>
      <c r="D664" s="93">
        <f>D656+8*(D666-D656)/10</f>
        <v>0.0015549799999999999</v>
      </c>
      <c r="E664" s="96">
        <f t="shared" si="90"/>
        <v>0.011675220000000002</v>
      </c>
      <c r="F664" s="228">
        <f>F656+8*(F666-F656)/10</f>
        <v>0.013230200000000001</v>
      </c>
      <c r="G664" s="98">
        <f>G656+8*(G666-G656)/10</f>
        <v>1520</v>
      </c>
      <c r="H664" s="98">
        <f t="shared" si="91"/>
        <v>1153.7599999999998</v>
      </c>
      <c r="I664" s="98">
        <f>I656+8*(I666-I656)/10</f>
        <v>2673.7599999999998</v>
      </c>
      <c r="J664" s="225">
        <f t="shared" si="89"/>
        <v>329</v>
      </c>
      <c r="K664" s="19"/>
    </row>
    <row r="665" spans="2:11" ht="12.75">
      <c r="B665" s="111">
        <f t="shared" si="88"/>
        <v>329.5</v>
      </c>
      <c r="C665" s="227">
        <f>C656+9*(C666-C656)/10</f>
        <v>127.823</v>
      </c>
      <c r="D665" s="93">
        <f>D656+9*(D666-D656)/10</f>
        <v>0.00155824</v>
      </c>
      <c r="E665" s="96">
        <f t="shared" si="90"/>
        <v>0.01155136</v>
      </c>
      <c r="F665" s="228">
        <f>F656+9*(F666-F656)/10</f>
        <v>0.0131096</v>
      </c>
      <c r="G665" s="98">
        <f>G656+9*(G666-G656)/10</f>
        <v>1523.25</v>
      </c>
      <c r="H665" s="98">
        <f t="shared" si="91"/>
        <v>1148.73</v>
      </c>
      <c r="I665" s="98">
        <f>I656+9*(I666-I656)/10</f>
        <v>2671.98</v>
      </c>
      <c r="J665" s="225">
        <f t="shared" si="89"/>
        <v>329.5</v>
      </c>
      <c r="K665" s="19"/>
    </row>
    <row r="666" spans="2:11" ht="12.75">
      <c r="B666" s="111">
        <f t="shared" si="88"/>
        <v>330</v>
      </c>
      <c r="C666" s="227">
        <v>128.63</v>
      </c>
      <c r="D666" s="93">
        <v>0.0015615</v>
      </c>
      <c r="E666" s="180">
        <f>F666-D666</f>
        <v>0.0114275</v>
      </c>
      <c r="F666" s="180">
        <v>0.012989</v>
      </c>
      <c r="G666" s="180">
        <v>1526.5</v>
      </c>
      <c r="H666" s="180">
        <f>I666-G666</f>
        <v>1143.6999999999998</v>
      </c>
      <c r="I666" s="180">
        <v>2670.2</v>
      </c>
      <c r="J666" s="225">
        <f t="shared" si="89"/>
        <v>330</v>
      </c>
      <c r="K666" s="19"/>
    </row>
    <row r="667" spans="2:11" ht="12.75">
      <c r="B667" s="111">
        <f t="shared" si="88"/>
        <v>330.5</v>
      </c>
      <c r="C667" s="227">
        <f>C666+1*(C676-C666)/10</f>
        <v>129.47899999999998</v>
      </c>
      <c r="D667" s="93">
        <f>D666+1*(D676-D666)/10</f>
        <v>0.0015651299999999999</v>
      </c>
      <c r="E667" s="96">
        <f aca="true" t="shared" si="92" ref="E667:E675">F667-D667</f>
        <v>0.01131037</v>
      </c>
      <c r="F667" s="228">
        <f>F666+1*(F676-F666)/10</f>
        <v>0.0128755</v>
      </c>
      <c r="G667" s="98">
        <f>G666+1*(G676-G666)/10</f>
        <v>1529.88</v>
      </c>
      <c r="H667" s="98">
        <f aca="true" t="shared" si="93" ref="H667:H675">I667-G667</f>
        <v>1138.2699999999995</v>
      </c>
      <c r="I667" s="98">
        <f>I666+1*(I676-I666)/10</f>
        <v>2668.1499999999996</v>
      </c>
      <c r="J667" s="225">
        <f t="shared" si="89"/>
        <v>330.5</v>
      </c>
      <c r="K667" s="19"/>
    </row>
    <row r="668" spans="2:11" ht="12.75">
      <c r="B668" s="111">
        <f t="shared" si="88"/>
        <v>331</v>
      </c>
      <c r="C668" s="227">
        <f>C666+2*(C676-C666)/10</f>
        <v>130.328</v>
      </c>
      <c r="D668" s="93">
        <f>D666+2*(D676-D666)/10</f>
        <v>0.00156876</v>
      </c>
      <c r="E668" s="96">
        <f t="shared" si="92"/>
        <v>0.01119324</v>
      </c>
      <c r="F668" s="228">
        <f>F666+2*(F676-F666)/10</f>
        <v>0.012762</v>
      </c>
      <c r="G668" s="98">
        <f>G666+2*(G676-G666)/10</f>
        <v>1533.26</v>
      </c>
      <c r="H668" s="98">
        <f t="shared" si="93"/>
        <v>1132.84</v>
      </c>
      <c r="I668" s="98">
        <f>I666+2*(I676-I666)/10</f>
        <v>2666.1</v>
      </c>
      <c r="J668" s="225">
        <f t="shared" si="89"/>
        <v>331</v>
      </c>
      <c r="K668" s="19"/>
    </row>
    <row r="669" spans="2:11" ht="12.75">
      <c r="B669" s="111">
        <f t="shared" si="88"/>
        <v>331.5</v>
      </c>
      <c r="C669" s="227">
        <f>C666+3*(C676-C666)/10</f>
        <v>131.177</v>
      </c>
      <c r="D669" s="93">
        <f>D666+3*(D676-D666)/10</f>
        <v>0.00157239</v>
      </c>
      <c r="E669" s="96">
        <f t="shared" si="92"/>
        <v>0.01107611</v>
      </c>
      <c r="F669" s="228">
        <f>F666+3*(F676-F666)/10</f>
        <v>0.0126485</v>
      </c>
      <c r="G669" s="98">
        <f>G666+3*(G676-G666)/10</f>
        <v>1536.6399999999999</v>
      </c>
      <c r="H669" s="98">
        <f t="shared" si="93"/>
        <v>1127.4099999999999</v>
      </c>
      <c r="I669" s="98">
        <f>I666+3*(I676-I666)/10</f>
        <v>2664.0499999999997</v>
      </c>
      <c r="J669" s="225">
        <f t="shared" si="89"/>
        <v>331.5</v>
      </c>
      <c r="K669" s="19"/>
    </row>
    <row r="670" spans="2:11" ht="12.75">
      <c r="B670" s="111">
        <f t="shared" si="88"/>
        <v>332</v>
      </c>
      <c r="C670" s="227">
        <f>C666+4*(C676-C666)/10</f>
        <v>132.026</v>
      </c>
      <c r="D670" s="93">
        <f>D666+4*(D676-D666)/10</f>
        <v>0.00157602</v>
      </c>
      <c r="E670" s="96">
        <f t="shared" si="92"/>
        <v>0.01095898</v>
      </c>
      <c r="F670" s="228">
        <f>F666+4*(F676-F666)/10</f>
        <v>0.012535000000000001</v>
      </c>
      <c r="G670" s="98">
        <f>G666+4*(G676-G666)/10</f>
        <v>1540.02</v>
      </c>
      <c r="H670" s="98">
        <f t="shared" si="93"/>
        <v>1121.98</v>
      </c>
      <c r="I670" s="98">
        <f>I666+4*(I676-I666)/10</f>
        <v>2662</v>
      </c>
      <c r="J670" s="225">
        <f t="shared" si="89"/>
        <v>332</v>
      </c>
      <c r="K670" s="19"/>
    </row>
    <row r="671" spans="2:11" ht="12.75">
      <c r="B671" s="111">
        <f t="shared" si="88"/>
        <v>332.5</v>
      </c>
      <c r="C671" s="227">
        <f>C666+5*(C676-C666)/10</f>
        <v>132.875</v>
      </c>
      <c r="D671" s="93">
        <f>D666+5*(D676-D666)/10</f>
        <v>0.00157965</v>
      </c>
      <c r="E671" s="96">
        <f t="shared" si="92"/>
        <v>0.01084185</v>
      </c>
      <c r="F671" s="228">
        <f>F666+5*(F676-F666)/10</f>
        <v>0.0124215</v>
      </c>
      <c r="G671" s="98">
        <f>G666+5*(G676-G666)/10</f>
        <v>1543.4</v>
      </c>
      <c r="H671" s="98">
        <f t="shared" si="93"/>
        <v>1116.5499999999997</v>
      </c>
      <c r="I671" s="98">
        <f>I666+5*(I676-I666)/10</f>
        <v>2659.95</v>
      </c>
      <c r="J671" s="225">
        <f t="shared" si="89"/>
        <v>332.5</v>
      </c>
      <c r="K671" s="19"/>
    </row>
    <row r="672" spans="2:11" ht="12.75">
      <c r="B672" s="111">
        <f t="shared" si="88"/>
        <v>333</v>
      </c>
      <c r="C672" s="227">
        <f>C666+6*(C676-C666)/10</f>
        <v>133.724</v>
      </c>
      <c r="D672" s="93">
        <f>D666+6*(D676-D666)/10</f>
        <v>0.0015832799999999998</v>
      </c>
      <c r="E672" s="96">
        <f t="shared" si="92"/>
        <v>0.01072472</v>
      </c>
      <c r="F672" s="228">
        <f>F666+6*(F676-F666)/10</f>
        <v>0.012308</v>
      </c>
      <c r="G672" s="98">
        <f>G666+6*(G676-G666)/10</f>
        <v>1546.78</v>
      </c>
      <c r="H672" s="98">
        <f t="shared" si="93"/>
        <v>1111.1199999999997</v>
      </c>
      <c r="I672" s="98">
        <f>I666+6*(I676-I666)/10</f>
        <v>2657.8999999999996</v>
      </c>
      <c r="J672" s="225">
        <f t="shared" si="89"/>
        <v>333</v>
      </c>
      <c r="K672" s="19"/>
    </row>
    <row r="673" spans="2:11" ht="12.75">
      <c r="B673" s="111">
        <f t="shared" si="88"/>
        <v>333.5</v>
      </c>
      <c r="C673" s="227">
        <f>C666+7*(C676-C666)/10</f>
        <v>134.573</v>
      </c>
      <c r="D673" s="93">
        <f>D666+7*(D676-D666)/10</f>
        <v>0.00158691</v>
      </c>
      <c r="E673" s="96">
        <f t="shared" si="92"/>
        <v>0.01060759</v>
      </c>
      <c r="F673" s="228">
        <f>F666+7*(F676-F666)/10</f>
        <v>0.0121945</v>
      </c>
      <c r="G673" s="98">
        <f>G666+7*(G676-G666)/10</f>
        <v>1550.1599999999999</v>
      </c>
      <c r="H673" s="98">
        <f t="shared" si="93"/>
        <v>1105.69</v>
      </c>
      <c r="I673" s="98">
        <f>I666+7*(I676-I666)/10</f>
        <v>2655.85</v>
      </c>
      <c r="J673" s="225">
        <f t="shared" si="89"/>
        <v>333.5</v>
      </c>
      <c r="K673" s="19"/>
    </row>
    <row r="674" spans="2:11" ht="12.75">
      <c r="B674" s="111">
        <f t="shared" si="88"/>
        <v>334</v>
      </c>
      <c r="C674" s="227">
        <f>C666+8*(C676-C666)/10</f>
        <v>135.422</v>
      </c>
      <c r="D674" s="93">
        <f>D666+8*(D676-D666)/10</f>
        <v>0.0015905399999999999</v>
      </c>
      <c r="E674" s="96">
        <f t="shared" si="92"/>
        <v>0.01049046</v>
      </c>
      <c r="F674" s="228">
        <f>F666+8*(F676-F666)/10</f>
        <v>0.012081</v>
      </c>
      <c r="G674" s="98">
        <f>G666+8*(G676-G666)/10</f>
        <v>1553.54</v>
      </c>
      <c r="H674" s="98">
        <f t="shared" si="93"/>
        <v>1100.2599999999998</v>
      </c>
      <c r="I674" s="98">
        <f>I666+8*(I676-I666)/10</f>
        <v>2653.7999999999997</v>
      </c>
      <c r="J674" s="225">
        <f t="shared" si="89"/>
        <v>334</v>
      </c>
      <c r="K674" s="19"/>
    </row>
    <row r="675" spans="2:11" ht="12.75">
      <c r="B675" s="111">
        <f t="shared" si="88"/>
        <v>334.5</v>
      </c>
      <c r="C675" s="227">
        <f>C666+9*(C676-C666)/10</f>
        <v>136.27100000000002</v>
      </c>
      <c r="D675" s="93">
        <f>D666+9*(D676-D666)/10</f>
        <v>0.00159417</v>
      </c>
      <c r="E675" s="96">
        <f t="shared" si="92"/>
        <v>0.01037333</v>
      </c>
      <c r="F675" s="228">
        <f>F666+9*(F676-F666)/10</f>
        <v>0.0119675</v>
      </c>
      <c r="G675" s="98">
        <f>G666+9*(G676-G666)/10</f>
        <v>1556.92</v>
      </c>
      <c r="H675" s="98">
        <f t="shared" si="93"/>
        <v>1094.83</v>
      </c>
      <c r="I675" s="98">
        <f>I666+9*(I676-I666)/10</f>
        <v>2651.75</v>
      </c>
      <c r="J675" s="225">
        <f t="shared" si="89"/>
        <v>334.5</v>
      </c>
      <c r="K675" s="19"/>
    </row>
    <row r="676" spans="2:11" ht="12.75">
      <c r="B676" s="111">
        <f t="shared" si="88"/>
        <v>335</v>
      </c>
      <c r="C676" s="227">
        <v>137.12</v>
      </c>
      <c r="D676" s="93">
        <v>0.0015978</v>
      </c>
      <c r="E676" s="180">
        <f>F676-D676</f>
        <v>0.0102562</v>
      </c>
      <c r="F676" s="180">
        <v>0.011854</v>
      </c>
      <c r="G676" s="180">
        <v>1560.3</v>
      </c>
      <c r="H676" s="180">
        <f>I676-G676</f>
        <v>1089.3999999999999</v>
      </c>
      <c r="I676" s="180">
        <v>2649.7</v>
      </c>
      <c r="J676" s="225">
        <f t="shared" si="89"/>
        <v>335</v>
      </c>
      <c r="K676" s="19"/>
    </row>
    <row r="677" spans="2:11" ht="12.75">
      <c r="B677" s="111">
        <f t="shared" si="88"/>
        <v>335.5</v>
      </c>
      <c r="C677" s="227">
        <f>C676+1*(C686-C676)/10</f>
        <v>138.013</v>
      </c>
      <c r="D677" s="93">
        <f>D676+1*(D686-D676)/10</f>
        <v>0.00160189</v>
      </c>
      <c r="E677" s="96">
        <f aca="true" t="shared" si="94" ref="E677:E685">F677-D677</f>
        <v>0.01014471</v>
      </c>
      <c r="F677" s="228">
        <f>F676+1*(F686-F676)/10</f>
        <v>0.0117466</v>
      </c>
      <c r="G677" s="98">
        <f>G676+1*(G686-G676)/10</f>
        <v>1562.82</v>
      </c>
      <c r="H677" s="98">
        <f aca="true" t="shared" si="95" ref="H677:H685">I677-G677</f>
        <v>1084.53</v>
      </c>
      <c r="I677" s="98">
        <f>I676+1*(I686-I676)/10</f>
        <v>2647.35</v>
      </c>
      <c r="J677" s="225">
        <f t="shared" si="89"/>
        <v>335.5</v>
      </c>
      <c r="K677" s="19"/>
    </row>
    <row r="678" spans="2:11" ht="12.75">
      <c r="B678" s="111">
        <f t="shared" si="88"/>
        <v>336</v>
      </c>
      <c r="C678" s="227">
        <f>C676+2*(C686-C676)/10</f>
        <v>138.906</v>
      </c>
      <c r="D678" s="93">
        <f>D676+2*(D686-D676)/10</f>
        <v>0.00160598</v>
      </c>
      <c r="E678" s="96">
        <f t="shared" si="94"/>
        <v>0.01003322</v>
      </c>
      <c r="F678" s="228">
        <f>F676+2*(F686-F676)/10</f>
        <v>0.0116392</v>
      </c>
      <c r="G678" s="98">
        <f>G676+2*(G686-G676)/10</f>
        <v>1565.34</v>
      </c>
      <c r="H678" s="98">
        <f t="shared" si="95"/>
        <v>1079.66</v>
      </c>
      <c r="I678" s="98">
        <f>I676+2*(I686-I676)/10</f>
        <v>2645</v>
      </c>
      <c r="J678" s="225">
        <f t="shared" si="89"/>
        <v>336</v>
      </c>
      <c r="K678" s="19"/>
    </row>
    <row r="679" spans="2:11" ht="12.75">
      <c r="B679" s="111">
        <f t="shared" si="88"/>
        <v>336.5</v>
      </c>
      <c r="C679" s="227">
        <f>C676+3*(C686-C676)/10</f>
        <v>139.799</v>
      </c>
      <c r="D679" s="93">
        <f>D676+3*(D686-D676)/10</f>
        <v>0.00161007</v>
      </c>
      <c r="E679" s="96">
        <f t="shared" si="94"/>
        <v>0.00992173</v>
      </c>
      <c r="F679" s="228">
        <f>F676+3*(F686-F676)/10</f>
        <v>0.0115318</v>
      </c>
      <c r="G679" s="98">
        <f>G676+3*(G686-G676)/10</f>
        <v>1567.86</v>
      </c>
      <c r="H679" s="98">
        <f t="shared" si="95"/>
        <v>1074.7899999999997</v>
      </c>
      <c r="I679" s="98">
        <f>I676+3*(I686-I676)/10</f>
        <v>2642.6499999999996</v>
      </c>
      <c r="J679" s="225">
        <f t="shared" si="89"/>
        <v>336.5</v>
      </c>
      <c r="K679" s="19"/>
    </row>
    <row r="680" spans="2:11" ht="12.75">
      <c r="B680" s="111">
        <f t="shared" si="88"/>
        <v>337</v>
      </c>
      <c r="C680" s="227">
        <f>C676+4*(C686-C676)/10</f>
        <v>140.692</v>
      </c>
      <c r="D680" s="93">
        <f>D676+4*(D686-D676)/10</f>
        <v>0.00161416</v>
      </c>
      <c r="E680" s="96">
        <f t="shared" si="94"/>
        <v>0.00981024</v>
      </c>
      <c r="F680" s="228">
        <f>F676+4*(F686-F676)/10</f>
        <v>0.0114244</v>
      </c>
      <c r="G680" s="98">
        <f>G676+4*(G686-G676)/10</f>
        <v>1570.3799999999999</v>
      </c>
      <c r="H680" s="98">
        <f t="shared" si="95"/>
        <v>1069.9199999999998</v>
      </c>
      <c r="I680" s="98">
        <f>I676+4*(I686-I676)/10</f>
        <v>2640.2999999999997</v>
      </c>
      <c r="J680" s="225">
        <f t="shared" si="89"/>
        <v>337</v>
      </c>
      <c r="K680" s="19"/>
    </row>
    <row r="681" spans="2:11" ht="12.75">
      <c r="B681" s="111">
        <f t="shared" si="88"/>
        <v>337.5</v>
      </c>
      <c r="C681" s="227">
        <f>C676+5*(C686-C676)/10</f>
        <v>141.585</v>
      </c>
      <c r="D681" s="93">
        <f>D676+5*(D686-D676)/10</f>
        <v>0.00161825</v>
      </c>
      <c r="E681" s="96">
        <f t="shared" si="94"/>
        <v>0.00969875</v>
      </c>
      <c r="F681" s="228">
        <f>F676+5*(F686-F676)/10</f>
        <v>0.011317</v>
      </c>
      <c r="G681" s="98">
        <f>G676+5*(G686-G676)/10</f>
        <v>1572.9</v>
      </c>
      <c r="H681" s="98">
        <f t="shared" si="95"/>
        <v>1065.0499999999997</v>
      </c>
      <c r="I681" s="98">
        <f>I676+5*(I686-I676)/10</f>
        <v>2637.95</v>
      </c>
      <c r="J681" s="225">
        <f t="shared" si="89"/>
        <v>337.5</v>
      </c>
      <c r="K681" s="19"/>
    </row>
    <row r="682" spans="2:11" ht="12.75">
      <c r="B682" s="111">
        <f t="shared" si="88"/>
        <v>338</v>
      </c>
      <c r="C682" s="227">
        <f>C676+6*(C686-C676)/10</f>
        <v>142.478</v>
      </c>
      <c r="D682" s="93">
        <f>D676+6*(D686-D676)/10</f>
        <v>0.0016223400000000001</v>
      </c>
      <c r="E682" s="96">
        <f t="shared" si="94"/>
        <v>0.00958726</v>
      </c>
      <c r="F682" s="228">
        <f>F676+6*(F686-F676)/10</f>
        <v>0.0112096</v>
      </c>
      <c r="G682" s="98">
        <f>G676+6*(G686-G676)/10</f>
        <v>1575.42</v>
      </c>
      <c r="H682" s="98">
        <f t="shared" si="95"/>
        <v>1060.1799999999998</v>
      </c>
      <c r="I682" s="98">
        <f>I676+6*(I686-I676)/10</f>
        <v>2635.6</v>
      </c>
      <c r="J682" s="225">
        <f t="shared" si="89"/>
        <v>338</v>
      </c>
      <c r="K682" s="19"/>
    </row>
    <row r="683" spans="2:11" ht="12.75">
      <c r="B683" s="111">
        <f t="shared" si="88"/>
        <v>338.5</v>
      </c>
      <c r="C683" s="227">
        <f>C676+7*(C686-C676)/10</f>
        <v>143.371</v>
      </c>
      <c r="D683" s="93">
        <f>D676+7*(D686-D676)/10</f>
        <v>0.00162643</v>
      </c>
      <c r="E683" s="96">
        <f t="shared" si="94"/>
        <v>0.00947577</v>
      </c>
      <c r="F683" s="228">
        <f>F676+7*(F686-F676)/10</f>
        <v>0.0111022</v>
      </c>
      <c r="G683" s="98">
        <f>G676+7*(G686-G676)/10</f>
        <v>1577.94</v>
      </c>
      <c r="H683" s="98">
        <f t="shared" si="95"/>
        <v>1055.31</v>
      </c>
      <c r="I683" s="98">
        <f>I676+7*(I686-I676)/10</f>
        <v>2633.25</v>
      </c>
      <c r="J683" s="225">
        <f t="shared" si="89"/>
        <v>338.5</v>
      </c>
      <c r="K683" s="19"/>
    </row>
    <row r="684" spans="2:11" ht="12.75">
      <c r="B684" s="111">
        <f t="shared" si="88"/>
        <v>339</v>
      </c>
      <c r="C684" s="227">
        <f>C676+8*(C686-C676)/10</f>
        <v>144.264</v>
      </c>
      <c r="D684" s="93">
        <f>D676+8*(D686-D676)/10</f>
        <v>0.00163052</v>
      </c>
      <c r="E684" s="96">
        <f t="shared" si="94"/>
        <v>0.009364279999999999</v>
      </c>
      <c r="F684" s="228">
        <f>F676+8*(F686-F676)/10</f>
        <v>0.010994799999999999</v>
      </c>
      <c r="G684" s="98">
        <f>G676+8*(G686-G676)/10</f>
        <v>1580.46</v>
      </c>
      <c r="H684" s="98">
        <f t="shared" si="95"/>
        <v>1050.4399999999996</v>
      </c>
      <c r="I684" s="98">
        <f>I676+8*(I686-I676)/10</f>
        <v>2630.8999999999996</v>
      </c>
      <c r="J684" s="225">
        <f t="shared" si="89"/>
        <v>339</v>
      </c>
      <c r="K684" s="19"/>
    </row>
    <row r="685" spans="2:11" ht="12.75">
      <c r="B685" s="111">
        <f t="shared" si="88"/>
        <v>339.5</v>
      </c>
      <c r="C685" s="227">
        <f>C676+9*(C686-C676)/10</f>
        <v>145.157</v>
      </c>
      <c r="D685" s="93">
        <f>D676+9*(D686-D676)/10</f>
        <v>0.00163461</v>
      </c>
      <c r="E685" s="96">
        <f t="shared" si="94"/>
        <v>0.00925279</v>
      </c>
      <c r="F685" s="228">
        <f>F676+9*(F686-F676)/10</f>
        <v>0.0108874</v>
      </c>
      <c r="G685" s="98">
        <f>G676+9*(G686-G676)/10</f>
        <v>1582.98</v>
      </c>
      <c r="H685" s="98">
        <f t="shared" si="95"/>
        <v>1045.5699999999997</v>
      </c>
      <c r="I685" s="98">
        <f>I676+9*(I686-I676)/10</f>
        <v>2628.5499999999997</v>
      </c>
      <c r="J685" s="225">
        <f t="shared" si="89"/>
        <v>339.5</v>
      </c>
      <c r="K685" s="19"/>
    </row>
    <row r="686" spans="2:11" ht="12.75">
      <c r="B686" s="111">
        <f t="shared" si="88"/>
        <v>340</v>
      </c>
      <c r="C686" s="227">
        <v>146.05</v>
      </c>
      <c r="D686" s="93">
        <v>0.0016387</v>
      </c>
      <c r="E686" s="180">
        <f>F686-D686</f>
        <v>0.0091413</v>
      </c>
      <c r="F686" s="180">
        <v>0.01078</v>
      </c>
      <c r="G686" s="180">
        <v>1585.5</v>
      </c>
      <c r="H686" s="180">
        <f>I686-G686</f>
        <v>1040.6999999999998</v>
      </c>
      <c r="I686" s="180">
        <v>2626.2</v>
      </c>
      <c r="J686" s="225">
        <f t="shared" si="89"/>
        <v>340</v>
      </c>
      <c r="K686" s="19"/>
    </row>
    <row r="687" spans="2:11" ht="12.75">
      <c r="B687" s="111">
        <f t="shared" si="88"/>
        <v>340.5</v>
      </c>
      <c r="C687" s="227">
        <f>C686+1*(C696-C686)/10</f>
        <v>146.99</v>
      </c>
      <c r="D687" s="93">
        <f>D686+1*(D696-D686)/10</f>
        <v>0.00164341</v>
      </c>
      <c r="E687" s="96">
        <f aca="true" t="shared" si="96" ref="E687:E695">F687-D687</f>
        <v>0.00903489</v>
      </c>
      <c r="F687" s="228">
        <f>F686+1*(F696-F686)/10</f>
        <v>0.0106783</v>
      </c>
      <c r="G687" s="98">
        <f>G686+1*(G696-G686)/10</f>
        <v>1590.2</v>
      </c>
      <c r="H687" s="98">
        <f aca="true" t="shared" si="97" ref="H687:H695">I687-G687</f>
        <v>1033.2699999999998</v>
      </c>
      <c r="I687" s="98">
        <f>I686+1*(I696-I686)/10</f>
        <v>2623.47</v>
      </c>
      <c r="J687" s="225">
        <f t="shared" si="89"/>
        <v>340.5</v>
      </c>
      <c r="K687" s="19"/>
    </row>
    <row r="688" spans="2:11" ht="12.75">
      <c r="B688" s="111">
        <f t="shared" si="88"/>
        <v>341</v>
      </c>
      <c r="C688" s="227">
        <f>C686+2*(C696-C686)/10</f>
        <v>147.93</v>
      </c>
      <c r="D688" s="93">
        <f>D686+2*(D696-D686)/10</f>
        <v>0.00164812</v>
      </c>
      <c r="E688" s="96">
        <f t="shared" si="96"/>
        <v>0.00892848</v>
      </c>
      <c r="F688" s="228">
        <f>F686+2*(F696-F686)/10</f>
        <v>0.0105766</v>
      </c>
      <c r="G688" s="98">
        <f>G686+2*(G696-G686)/10</f>
        <v>1594.9</v>
      </c>
      <c r="H688" s="98">
        <f t="shared" si="97"/>
        <v>1025.8399999999997</v>
      </c>
      <c r="I688" s="98">
        <f>I686+2*(I696-I686)/10</f>
        <v>2620.74</v>
      </c>
      <c r="J688" s="225">
        <f t="shared" si="89"/>
        <v>341</v>
      </c>
      <c r="K688" s="19"/>
    </row>
    <row r="689" spans="2:11" ht="12.75">
      <c r="B689" s="111">
        <f t="shared" si="88"/>
        <v>341.5</v>
      </c>
      <c r="C689" s="227">
        <f>C686+3*(C696-C686)/10</f>
        <v>148.87</v>
      </c>
      <c r="D689" s="93">
        <f>D686+3*(D696-D686)/10</f>
        <v>0.00165283</v>
      </c>
      <c r="E689" s="96">
        <f t="shared" si="96"/>
        <v>0.008822070000000001</v>
      </c>
      <c r="F689" s="228">
        <f>F686+3*(F696-F686)/10</f>
        <v>0.0104749</v>
      </c>
      <c r="G689" s="98">
        <f>G686+3*(G696-G686)/10</f>
        <v>1599.6</v>
      </c>
      <c r="H689" s="98">
        <f t="shared" si="97"/>
        <v>1018.4099999999999</v>
      </c>
      <c r="I689" s="98">
        <f>I686+3*(I696-I686)/10</f>
        <v>2618.0099999999998</v>
      </c>
      <c r="J689" s="225">
        <f t="shared" si="89"/>
        <v>341.5</v>
      </c>
      <c r="K689" s="19"/>
    </row>
    <row r="690" spans="2:11" ht="12.75">
      <c r="B690" s="111">
        <f t="shared" si="88"/>
        <v>342</v>
      </c>
      <c r="C690" s="227">
        <f>C686+4*(C696-C686)/10</f>
        <v>149.81</v>
      </c>
      <c r="D690" s="93">
        <f>D686+4*(D696-D686)/10</f>
        <v>0.00165754</v>
      </c>
      <c r="E690" s="96">
        <f t="shared" si="96"/>
        <v>0.00871566</v>
      </c>
      <c r="F690" s="228">
        <f>F686+4*(F696-F686)/10</f>
        <v>0.0103732</v>
      </c>
      <c r="G690" s="98">
        <f>G686+4*(G696-G686)/10</f>
        <v>1604.3</v>
      </c>
      <c r="H690" s="98">
        <f t="shared" si="97"/>
        <v>1010.9799999999998</v>
      </c>
      <c r="I690" s="98">
        <f>I686+4*(I696-I686)/10</f>
        <v>2615.2799999999997</v>
      </c>
      <c r="J690" s="225">
        <f t="shared" si="89"/>
        <v>342</v>
      </c>
      <c r="K690" s="19"/>
    </row>
    <row r="691" spans="2:11" ht="12.75">
      <c r="B691" s="111">
        <f t="shared" si="88"/>
        <v>342.5</v>
      </c>
      <c r="C691" s="227">
        <f>C686+5*(C696-C686)/10</f>
        <v>150.75</v>
      </c>
      <c r="D691" s="93">
        <f>D686+5*(D696-D686)/10</f>
        <v>0.00166225</v>
      </c>
      <c r="E691" s="96">
        <f t="shared" si="96"/>
        <v>0.008609249999999999</v>
      </c>
      <c r="F691" s="228">
        <f>F686+5*(F696-F686)/10</f>
        <v>0.0102715</v>
      </c>
      <c r="G691" s="98">
        <f>G686+5*(G696-G686)/10</f>
        <v>1609</v>
      </c>
      <c r="H691" s="98">
        <f t="shared" si="97"/>
        <v>1003.5500000000002</v>
      </c>
      <c r="I691" s="98">
        <f>I686+5*(I696-I686)/10</f>
        <v>2612.55</v>
      </c>
      <c r="J691" s="225">
        <f t="shared" si="89"/>
        <v>342.5</v>
      </c>
      <c r="K691" s="19"/>
    </row>
    <row r="692" spans="2:11" ht="12.75">
      <c r="B692" s="111">
        <f t="shared" si="88"/>
        <v>343</v>
      </c>
      <c r="C692" s="227">
        <f>C686+6*(C696-C686)/10</f>
        <v>151.69</v>
      </c>
      <c r="D692" s="93">
        <f>D686+6*(D696-D686)/10</f>
        <v>0.00166696</v>
      </c>
      <c r="E692" s="96">
        <f t="shared" si="96"/>
        <v>0.00850284</v>
      </c>
      <c r="F692" s="228">
        <f>F686+6*(F696-F686)/10</f>
        <v>0.0101698</v>
      </c>
      <c r="G692" s="98">
        <f>G686+6*(G696-G686)/10</f>
        <v>1613.7</v>
      </c>
      <c r="H692" s="98">
        <f t="shared" si="97"/>
        <v>996.1200000000001</v>
      </c>
      <c r="I692" s="98">
        <f>I686+6*(I696-I686)/10</f>
        <v>2609.82</v>
      </c>
      <c r="J692" s="225">
        <f t="shared" si="89"/>
        <v>343</v>
      </c>
      <c r="K692" s="19"/>
    </row>
    <row r="693" spans="2:11" ht="12.75">
      <c r="B693" s="111">
        <f t="shared" si="88"/>
        <v>343.5</v>
      </c>
      <c r="C693" s="227">
        <f>C686+7*(C696-C686)/10</f>
        <v>152.63</v>
      </c>
      <c r="D693" s="93">
        <f>D686+7*(D696-D686)/10</f>
        <v>0.00167167</v>
      </c>
      <c r="E693" s="96">
        <f t="shared" si="96"/>
        <v>0.00839643</v>
      </c>
      <c r="F693" s="228">
        <f>F686+7*(F696-F686)/10</f>
        <v>0.0100681</v>
      </c>
      <c r="G693" s="98">
        <f>G686+7*(G696-G686)/10</f>
        <v>1618.4</v>
      </c>
      <c r="H693" s="98">
        <f t="shared" si="97"/>
        <v>988.69</v>
      </c>
      <c r="I693" s="98">
        <f>I686+7*(I696-I686)/10</f>
        <v>2607.09</v>
      </c>
      <c r="J693" s="225">
        <f t="shared" si="89"/>
        <v>343.5</v>
      </c>
      <c r="K693" s="19"/>
    </row>
    <row r="694" spans="2:11" ht="12.75">
      <c r="B694" s="111">
        <f t="shared" si="88"/>
        <v>344</v>
      </c>
      <c r="C694" s="227">
        <f>C686+8*(C696-C686)/10</f>
        <v>153.57</v>
      </c>
      <c r="D694" s="93">
        <f>D686+8*(D696-D686)/10</f>
        <v>0.00167638</v>
      </c>
      <c r="E694" s="96">
        <f t="shared" si="96"/>
        <v>0.00829002</v>
      </c>
      <c r="F694" s="228">
        <f>F686+8*(F696-F686)/10</f>
        <v>0.0099664</v>
      </c>
      <c r="G694" s="98">
        <f>G686+8*(G696-G686)/10</f>
        <v>1623.1</v>
      </c>
      <c r="H694" s="98">
        <f t="shared" si="97"/>
        <v>981.2600000000002</v>
      </c>
      <c r="I694" s="98">
        <f>I686+8*(I696-I686)/10</f>
        <v>2604.36</v>
      </c>
      <c r="J694" s="225">
        <f t="shared" si="89"/>
        <v>344</v>
      </c>
      <c r="K694" s="19"/>
    </row>
    <row r="695" spans="2:11" ht="12.75">
      <c r="B695" s="111">
        <f t="shared" si="88"/>
        <v>344.5</v>
      </c>
      <c r="C695" s="227">
        <f>C686+9*(C696-C686)/10</f>
        <v>154.51</v>
      </c>
      <c r="D695" s="93">
        <f>D686+9*(D696-D686)/10</f>
        <v>0.00168109</v>
      </c>
      <c r="E695" s="96">
        <f t="shared" si="96"/>
        <v>0.008183610000000001</v>
      </c>
      <c r="F695" s="228">
        <f>F686+9*(F696-F686)/10</f>
        <v>0.0098647</v>
      </c>
      <c r="G695" s="98">
        <f>G686+9*(G696-G686)/10</f>
        <v>1627.8</v>
      </c>
      <c r="H695" s="98">
        <f t="shared" si="97"/>
        <v>973.8300000000002</v>
      </c>
      <c r="I695" s="98">
        <f>I686+9*(I696-I686)/10</f>
        <v>2601.63</v>
      </c>
      <c r="J695" s="225">
        <f t="shared" si="89"/>
        <v>344.5</v>
      </c>
      <c r="K695" s="19"/>
    </row>
    <row r="696" spans="2:11" ht="12.75">
      <c r="B696" s="111">
        <f t="shared" si="88"/>
        <v>345</v>
      </c>
      <c r="C696" s="227">
        <v>155.45</v>
      </c>
      <c r="D696" s="93">
        <v>0.0016858</v>
      </c>
      <c r="E696" s="180">
        <f>F696-D696</f>
        <v>0.008077200000000001</v>
      </c>
      <c r="F696" s="180">
        <v>0.009763</v>
      </c>
      <c r="G696" s="180">
        <v>1632.5</v>
      </c>
      <c r="H696" s="180">
        <f>I696-G696</f>
        <v>966.4000000000001</v>
      </c>
      <c r="I696" s="180">
        <v>2598.9</v>
      </c>
      <c r="J696" s="225">
        <f t="shared" si="89"/>
        <v>345</v>
      </c>
      <c r="K696" s="19"/>
    </row>
    <row r="697" spans="2:11" ht="12.75">
      <c r="B697" s="111">
        <f t="shared" si="88"/>
        <v>345.5</v>
      </c>
      <c r="C697" s="227">
        <f>C696+1*(C706-C696)/10</f>
        <v>156.44</v>
      </c>
      <c r="D697" s="93">
        <f>D696+1*(D706-D696)/10</f>
        <v>0.00169133</v>
      </c>
      <c r="E697" s="96">
        <f aca="true" t="shared" si="98" ref="E697:E705">F697-D697</f>
        <v>0.007975270000000001</v>
      </c>
      <c r="F697" s="228">
        <f>F696+1*(F706-F696)/10</f>
        <v>0.009666600000000001</v>
      </c>
      <c r="G697" s="98">
        <f>G696+1*(G706-G696)/10</f>
        <v>1636.44</v>
      </c>
      <c r="H697" s="98">
        <f aca="true" t="shared" si="99" ref="H697:H705">I697-G697</f>
        <v>959.3400000000001</v>
      </c>
      <c r="I697" s="98">
        <f>I696+1*(I706-I696)/10</f>
        <v>2595.78</v>
      </c>
      <c r="J697" s="225">
        <f t="shared" si="89"/>
        <v>345.5</v>
      </c>
      <c r="K697" s="19"/>
    </row>
    <row r="698" spans="2:11" ht="12.75">
      <c r="B698" s="111">
        <f t="shared" si="88"/>
        <v>346</v>
      </c>
      <c r="C698" s="227">
        <f>C696+2*(C706-C696)/10</f>
        <v>157.42999999999998</v>
      </c>
      <c r="D698" s="93">
        <f>D696+2*(D706-D696)/10</f>
        <v>0.0016968600000000001</v>
      </c>
      <c r="E698" s="96">
        <f t="shared" si="98"/>
        <v>0.007873340000000001</v>
      </c>
      <c r="F698" s="228">
        <f>F696+2*(F706-F696)/10</f>
        <v>0.009570200000000001</v>
      </c>
      <c r="G698" s="98">
        <f>G696+2*(G706-G696)/10</f>
        <v>1640.38</v>
      </c>
      <c r="H698" s="98">
        <f t="shared" si="99"/>
        <v>952.2799999999997</v>
      </c>
      <c r="I698" s="98">
        <f>I696+2*(I706-I696)/10</f>
        <v>2592.66</v>
      </c>
      <c r="J698" s="225">
        <f t="shared" si="89"/>
        <v>346</v>
      </c>
      <c r="K698" s="19"/>
    </row>
    <row r="699" spans="2:11" ht="12.75">
      <c r="B699" s="111">
        <f t="shared" si="88"/>
        <v>346.5</v>
      </c>
      <c r="C699" s="227">
        <f>C696+3*(C706-C696)/10</f>
        <v>158.42</v>
      </c>
      <c r="D699" s="93">
        <f>D696+3*(D706-D696)/10</f>
        <v>0.00170239</v>
      </c>
      <c r="E699" s="96">
        <f t="shared" si="98"/>
        <v>0.007771410000000001</v>
      </c>
      <c r="F699" s="228">
        <f>F696+3*(F706-F696)/10</f>
        <v>0.009473800000000001</v>
      </c>
      <c r="G699" s="98">
        <f>G696+3*(G706-G696)/10</f>
        <v>1644.32</v>
      </c>
      <c r="H699" s="98">
        <f t="shared" si="99"/>
        <v>945.22</v>
      </c>
      <c r="I699" s="98">
        <f>I696+3*(I706-I696)/10</f>
        <v>2589.54</v>
      </c>
      <c r="J699" s="225">
        <f t="shared" si="89"/>
        <v>346.5</v>
      </c>
      <c r="K699" s="19"/>
    </row>
    <row r="700" spans="2:11" ht="12.75">
      <c r="B700" s="111">
        <f t="shared" si="88"/>
        <v>347</v>
      </c>
      <c r="C700" s="227">
        <f>C696+4*(C706-C696)/10</f>
        <v>159.41</v>
      </c>
      <c r="D700" s="93">
        <f>D696+4*(D706-D696)/10</f>
        <v>0.0017079200000000001</v>
      </c>
      <c r="E700" s="96">
        <f t="shared" si="98"/>
        <v>0.007669480000000001</v>
      </c>
      <c r="F700" s="228">
        <f>F696+4*(F706-F696)/10</f>
        <v>0.009377400000000001</v>
      </c>
      <c r="G700" s="98">
        <f>G696+4*(G706-G696)/10</f>
        <v>1648.26</v>
      </c>
      <c r="H700" s="98">
        <f t="shared" si="99"/>
        <v>938.1600000000001</v>
      </c>
      <c r="I700" s="98">
        <f>I696+4*(I706-I696)/10</f>
        <v>2586.42</v>
      </c>
      <c r="J700" s="225">
        <f t="shared" si="89"/>
        <v>347</v>
      </c>
      <c r="K700" s="19"/>
    </row>
    <row r="701" spans="2:11" ht="12.75">
      <c r="B701" s="111">
        <f t="shared" si="88"/>
        <v>347.5</v>
      </c>
      <c r="C701" s="227">
        <f>C696+5*(C706-C696)/10</f>
        <v>160.39999999999998</v>
      </c>
      <c r="D701" s="93">
        <f>D696+5*(D706-D696)/10</f>
        <v>0.00171345</v>
      </c>
      <c r="E701" s="96">
        <f t="shared" si="98"/>
        <v>0.007567550000000001</v>
      </c>
      <c r="F701" s="228">
        <f>F696+5*(F706-F696)/10</f>
        <v>0.009281000000000001</v>
      </c>
      <c r="G701" s="98">
        <f>G696+5*(G706-G696)/10</f>
        <v>1652.2</v>
      </c>
      <c r="H701" s="98">
        <f t="shared" si="99"/>
        <v>931.1000000000001</v>
      </c>
      <c r="I701" s="98">
        <f>I696+5*(I706-I696)/10</f>
        <v>2583.3</v>
      </c>
      <c r="J701" s="225">
        <f t="shared" si="89"/>
        <v>347.5</v>
      </c>
      <c r="K701" s="19"/>
    </row>
    <row r="702" spans="2:11" ht="12.75">
      <c r="B702" s="111">
        <f t="shared" si="88"/>
        <v>348</v>
      </c>
      <c r="C702" s="227">
        <f>C696+6*(C706-C696)/10</f>
        <v>161.39</v>
      </c>
      <c r="D702" s="93">
        <f>D696+6*(D706-D696)/10</f>
        <v>0.00171898</v>
      </c>
      <c r="E702" s="96">
        <f t="shared" si="98"/>
        <v>0.007465619999999999</v>
      </c>
      <c r="F702" s="228">
        <f>F696+6*(F706-F696)/10</f>
        <v>0.0091846</v>
      </c>
      <c r="G702" s="98">
        <f>G696+6*(G706-G696)/10</f>
        <v>1656.14</v>
      </c>
      <c r="H702" s="98">
        <f t="shared" si="99"/>
        <v>924.0399999999997</v>
      </c>
      <c r="I702" s="98">
        <f>I696+6*(I706-I696)/10</f>
        <v>2580.18</v>
      </c>
      <c r="J702" s="225">
        <f t="shared" si="89"/>
        <v>348</v>
      </c>
      <c r="K702" s="19"/>
    </row>
    <row r="703" spans="2:11" ht="12.75">
      <c r="B703" s="111">
        <f t="shared" si="88"/>
        <v>348.5</v>
      </c>
      <c r="C703" s="227">
        <f>C696+7*(C706-C696)/10</f>
        <v>162.38</v>
      </c>
      <c r="D703" s="93">
        <f>D696+7*(D706-D696)/10</f>
        <v>0.00172451</v>
      </c>
      <c r="E703" s="96">
        <f t="shared" si="98"/>
        <v>0.007363689999999999</v>
      </c>
      <c r="F703" s="228">
        <f>F696+7*(F706-F696)/10</f>
        <v>0.0090882</v>
      </c>
      <c r="G703" s="98">
        <f>G696+7*(G706-G696)/10</f>
        <v>1660.0800000000002</v>
      </c>
      <c r="H703" s="98">
        <f t="shared" si="99"/>
        <v>916.9799999999998</v>
      </c>
      <c r="I703" s="98">
        <f>I696+7*(I706-I696)/10</f>
        <v>2577.06</v>
      </c>
      <c r="J703" s="225">
        <f t="shared" si="89"/>
        <v>348.5</v>
      </c>
      <c r="K703" s="19"/>
    </row>
    <row r="704" spans="2:11" ht="12.75">
      <c r="B704" s="111">
        <f t="shared" si="88"/>
        <v>349</v>
      </c>
      <c r="C704" s="227">
        <f>C696+8*(C706-C696)/10</f>
        <v>163.37</v>
      </c>
      <c r="D704" s="93">
        <f>D696+8*(D706-D696)/10</f>
        <v>0.00173004</v>
      </c>
      <c r="E704" s="96">
        <f t="shared" si="98"/>
        <v>0.007261759999999999</v>
      </c>
      <c r="F704" s="228">
        <f>F696+8*(F706-F696)/10</f>
        <v>0.0089918</v>
      </c>
      <c r="G704" s="98">
        <f>G696+8*(G706-G696)/10</f>
        <v>1664.02</v>
      </c>
      <c r="H704" s="98">
        <f t="shared" si="99"/>
        <v>909.9200000000001</v>
      </c>
      <c r="I704" s="98">
        <f>I696+8*(I706-I696)/10</f>
        <v>2573.94</v>
      </c>
      <c r="J704" s="225">
        <f t="shared" si="89"/>
        <v>349</v>
      </c>
      <c r="K704" s="19"/>
    </row>
    <row r="705" spans="2:11" ht="12.75">
      <c r="B705" s="111">
        <f t="shared" si="88"/>
        <v>349.5</v>
      </c>
      <c r="C705" s="227">
        <f>C696+9*(C706-C696)/10</f>
        <v>164.35999999999999</v>
      </c>
      <c r="D705" s="93">
        <f>D696+9*(D706-D696)/10</f>
        <v>0.00173557</v>
      </c>
      <c r="E705" s="96">
        <f t="shared" si="98"/>
        <v>0.007159829999999999</v>
      </c>
      <c r="F705" s="228">
        <f>F696+9*(F706-F696)/10</f>
        <v>0.0088954</v>
      </c>
      <c r="G705" s="98">
        <f>G696+9*(G706-G696)/10</f>
        <v>1667.96</v>
      </c>
      <c r="H705" s="98">
        <f t="shared" si="99"/>
        <v>902.8599999999997</v>
      </c>
      <c r="I705" s="98">
        <f>I696+9*(I706-I696)/10</f>
        <v>2570.8199999999997</v>
      </c>
      <c r="J705" s="225">
        <f t="shared" si="89"/>
        <v>349.5</v>
      </c>
      <c r="K705" s="19"/>
    </row>
    <row r="706" spans="2:11" ht="12.75">
      <c r="B706" s="111">
        <f t="shared" si="88"/>
        <v>350</v>
      </c>
      <c r="C706" s="227">
        <v>165.35</v>
      </c>
      <c r="D706" s="93">
        <v>0.0017411</v>
      </c>
      <c r="E706" s="180">
        <f>F706-D706</f>
        <v>0.0070579</v>
      </c>
      <c r="F706" s="180">
        <v>0.008799</v>
      </c>
      <c r="G706" s="180">
        <v>1671.9</v>
      </c>
      <c r="H706" s="180">
        <f>I706-G706</f>
        <v>895.7999999999997</v>
      </c>
      <c r="I706" s="180">
        <v>2567.7</v>
      </c>
      <c r="J706" s="225">
        <f t="shared" si="89"/>
        <v>350</v>
      </c>
      <c r="K706" s="19"/>
    </row>
    <row r="707" spans="2:11" ht="12.75">
      <c r="B707" s="111">
        <f t="shared" si="88"/>
        <v>350.5</v>
      </c>
      <c r="C707" s="227">
        <f>C706+1*(C716-C706)/10</f>
        <v>166.392</v>
      </c>
      <c r="D707" s="93">
        <f>D706+1*(D716-D706)/10</f>
        <v>0.00174784</v>
      </c>
      <c r="E707" s="96">
        <f aca="true" t="shared" si="100" ref="E707:E715">F707-D707</f>
        <v>0.006957159999999999</v>
      </c>
      <c r="F707" s="228">
        <f>F706+1*(F716-F706)/10</f>
        <v>0.008705</v>
      </c>
      <c r="G707" s="98">
        <f>G706+1*(G716-G706)/10</f>
        <v>1676.3700000000001</v>
      </c>
      <c r="H707" s="98">
        <f aca="true" t="shared" si="101" ref="H707:H715">I707-G707</f>
        <v>887.5999999999997</v>
      </c>
      <c r="I707" s="98">
        <f>I706+1*(I716-I706)/10</f>
        <v>2563.97</v>
      </c>
      <c r="J707" s="225">
        <f t="shared" si="89"/>
        <v>350.5</v>
      </c>
      <c r="K707" s="19"/>
    </row>
    <row r="708" spans="2:11" ht="12.75">
      <c r="B708" s="111">
        <f t="shared" si="88"/>
        <v>351</v>
      </c>
      <c r="C708" s="227">
        <f>C706+2*(C716-C706)/10</f>
        <v>167.434</v>
      </c>
      <c r="D708" s="93">
        <f>D706+2*(D716-D706)/10</f>
        <v>0.00175458</v>
      </c>
      <c r="E708" s="96">
        <f t="shared" si="100"/>
        <v>0.0068564199999999985</v>
      </c>
      <c r="F708" s="228">
        <f>F706+2*(F716-F706)/10</f>
        <v>0.008610999999999999</v>
      </c>
      <c r="G708" s="98">
        <f>G706+2*(G716-G706)/10</f>
        <v>1680.8400000000001</v>
      </c>
      <c r="H708" s="98">
        <f t="shared" si="101"/>
        <v>879.3999999999996</v>
      </c>
      <c r="I708" s="98">
        <f>I706+2*(I716-I706)/10</f>
        <v>2560.24</v>
      </c>
      <c r="J708" s="225">
        <f t="shared" si="89"/>
        <v>351</v>
      </c>
      <c r="K708" s="19"/>
    </row>
    <row r="709" spans="2:11" ht="12.75">
      <c r="B709" s="111">
        <f t="shared" si="88"/>
        <v>351.5</v>
      </c>
      <c r="C709" s="227">
        <f>C706+3*(C716-C706)/10</f>
        <v>168.476</v>
      </c>
      <c r="D709" s="93">
        <f>D706+3*(D716-D706)/10</f>
        <v>0.00176132</v>
      </c>
      <c r="E709" s="96">
        <f t="shared" si="100"/>
        <v>0.00675568</v>
      </c>
      <c r="F709" s="228">
        <f>F706+3*(F716-F706)/10</f>
        <v>0.008517</v>
      </c>
      <c r="G709" s="98">
        <f>G706+3*(G716-G706)/10</f>
        <v>1685.31</v>
      </c>
      <c r="H709" s="98">
        <f t="shared" si="101"/>
        <v>871.1999999999998</v>
      </c>
      <c r="I709" s="98">
        <f>I706+3*(I716-I706)/10</f>
        <v>2556.5099999999998</v>
      </c>
      <c r="J709" s="225">
        <f t="shared" si="89"/>
        <v>351.5</v>
      </c>
      <c r="K709" s="19"/>
    </row>
    <row r="710" spans="2:11" ht="12.75">
      <c r="B710" s="111">
        <f t="shared" si="88"/>
        <v>352</v>
      </c>
      <c r="C710" s="227">
        <f>C706+4*(C716-C706)/10</f>
        <v>169.518</v>
      </c>
      <c r="D710" s="93">
        <f>D706+4*(D716-D706)/10</f>
        <v>0.00176806</v>
      </c>
      <c r="E710" s="96">
        <f t="shared" si="100"/>
        <v>0.00665494</v>
      </c>
      <c r="F710" s="228">
        <f>F706+4*(F716-F706)/10</f>
        <v>0.008423</v>
      </c>
      <c r="G710" s="98">
        <f>G706+4*(G716-G706)/10</f>
        <v>1689.78</v>
      </c>
      <c r="H710" s="98">
        <f t="shared" si="101"/>
        <v>862.9999999999998</v>
      </c>
      <c r="I710" s="98">
        <f>I706+4*(I716-I706)/10</f>
        <v>2552.7799999999997</v>
      </c>
      <c r="J710" s="225">
        <f t="shared" si="89"/>
        <v>352</v>
      </c>
      <c r="K710" s="19"/>
    </row>
    <row r="711" spans="2:11" ht="12.75">
      <c r="B711" s="111">
        <f t="shared" si="88"/>
        <v>352.5</v>
      </c>
      <c r="C711" s="227">
        <f>C706+5*(C716-C706)/10</f>
        <v>170.56</v>
      </c>
      <c r="D711" s="93">
        <f>D706+5*(D716-D706)/10</f>
        <v>0.0017748</v>
      </c>
      <c r="E711" s="96">
        <f t="shared" si="100"/>
        <v>0.0065542</v>
      </c>
      <c r="F711" s="228">
        <f>F706+5*(F716-F706)/10</f>
        <v>0.008329</v>
      </c>
      <c r="G711" s="98">
        <f>G706+5*(G716-G706)/10</f>
        <v>1694.25</v>
      </c>
      <c r="H711" s="98">
        <f t="shared" si="101"/>
        <v>854.8000000000002</v>
      </c>
      <c r="I711" s="98">
        <f>I706+5*(I716-I706)/10</f>
        <v>2549.05</v>
      </c>
      <c r="J711" s="225">
        <f t="shared" si="89"/>
        <v>352.5</v>
      </c>
      <c r="K711" s="19"/>
    </row>
    <row r="712" spans="2:11" ht="12.75">
      <c r="B712" s="111">
        <f aca="true" t="shared" si="102" ref="B712:B754">B711+0.5</f>
        <v>353</v>
      </c>
      <c r="C712" s="227">
        <f>C706+6*(C716-C706)/10</f>
        <v>171.602</v>
      </c>
      <c r="D712" s="93">
        <f>D706+6*(D716-D706)/10</f>
        <v>0.00178154</v>
      </c>
      <c r="E712" s="96">
        <f t="shared" si="100"/>
        <v>0.006453459999999999</v>
      </c>
      <c r="F712" s="228">
        <f>F706+6*(F716-F706)/10</f>
        <v>0.008235</v>
      </c>
      <c r="G712" s="98">
        <f>G706+6*(G716-G706)/10</f>
        <v>1698.72</v>
      </c>
      <c r="H712" s="98">
        <f t="shared" si="101"/>
        <v>846.6000000000001</v>
      </c>
      <c r="I712" s="98">
        <f>I706+6*(I716-I706)/10</f>
        <v>2545.32</v>
      </c>
      <c r="J712" s="225">
        <f aca="true" t="shared" si="103" ref="J712:J754">J711+0.5</f>
        <v>353</v>
      </c>
      <c r="K712" s="19"/>
    </row>
    <row r="713" spans="2:11" ht="12.75">
      <c r="B713" s="111">
        <f t="shared" si="102"/>
        <v>353.5</v>
      </c>
      <c r="C713" s="227">
        <f>C706+7*(C716-C706)/10</f>
        <v>172.644</v>
      </c>
      <c r="D713" s="93">
        <f>D706+7*(D716-D706)/10</f>
        <v>0.00178828</v>
      </c>
      <c r="E713" s="96">
        <f t="shared" si="100"/>
        <v>0.006352719999999999</v>
      </c>
      <c r="F713" s="228">
        <f>F706+7*(F716-F706)/10</f>
        <v>0.008140999999999999</v>
      </c>
      <c r="G713" s="98">
        <f>G706+7*(G716-G706)/10</f>
        <v>1703.19</v>
      </c>
      <c r="H713" s="98">
        <f t="shared" si="101"/>
        <v>838.4000000000001</v>
      </c>
      <c r="I713" s="98">
        <f>I706+7*(I716-I706)/10</f>
        <v>2541.59</v>
      </c>
      <c r="J713" s="225">
        <f t="shared" si="103"/>
        <v>353.5</v>
      </c>
      <c r="K713" s="19"/>
    </row>
    <row r="714" spans="2:11" ht="12.75">
      <c r="B714" s="111">
        <f t="shared" si="102"/>
        <v>354</v>
      </c>
      <c r="C714" s="227">
        <f>C706+8*(C716-C706)/10</f>
        <v>173.686</v>
      </c>
      <c r="D714" s="93">
        <f>D706+8*(D716-D706)/10</f>
        <v>0.00179502</v>
      </c>
      <c r="E714" s="96">
        <f t="shared" si="100"/>
        <v>0.006251980000000001</v>
      </c>
      <c r="F714" s="228">
        <f>F706+8*(F716-F706)/10</f>
        <v>0.008047</v>
      </c>
      <c r="G714" s="98">
        <f>G706+8*(G716-G706)/10</f>
        <v>1707.6599999999999</v>
      </c>
      <c r="H714" s="98">
        <f t="shared" si="101"/>
        <v>830.2000000000003</v>
      </c>
      <c r="I714" s="98">
        <f>I706+8*(I716-I706)/10</f>
        <v>2537.86</v>
      </c>
      <c r="J714" s="225">
        <f t="shared" si="103"/>
        <v>354</v>
      </c>
      <c r="K714" s="19"/>
    </row>
    <row r="715" spans="2:11" ht="12.75">
      <c r="B715" s="111">
        <f t="shared" si="102"/>
        <v>354.5</v>
      </c>
      <c r="C715" s="227">
        <f>C706+9*(C716-C706)/10</f>
        <v>174.728</v>
      </c>
      <c r="D715" s="93">
        <f>D706+9*(D716-D706)/10</f>
        <v>0.00180176</v>
      </c>
      <c r="E715" s="96">
        <f t="shared" si="100"/>
        <v>0.0061512400000000005</v>
      </c>
      <c r="F715" s="228">
        <f>F706+9*(F716-F706)/10</f>
        <v>0.007953</v>
      </c>
      <c r="G715" s="98">
        <f>G706+9*(G716-G706)/10</f>
        <v>1712.1299999999999</v>
      </c>
      <c r="H715" s="98">
        <f t="shared" si="101"/>
        <v>822.0000000000002</v>
      </c>
      <c r="I715" s="98">
        <f>I706+9*(I716-I706)/10</f>
        <v>2534.13</v>
      </c>
      <c r="J715" s="225">
        <f t="shared" si="103"/>
        <v>354.5</v>
      </c>
      <c r="K715" s="19"/>
    </row>
    <row r="716" spans="2:11" ht="12.75">
      <c r="B716" s="111">
        <f t="shared" si="102"/>
        <v>355</v>
      </c>
      <c r="C716" s="227">
        <v>175.77</v>
      </c>
      <c r="D716" s="93">
        <v>0.0018085</v>
      </c>
      <c r="E716" s="180">
        <f>F716-D716</f>
        <v>0.0060504999999999995</v>
      </c>
      <c r="F716" s="180">
        <v>0.007859</v>
      </c>
      <c r="G716" s="180">
        <v>1716.6</v>
      </c>
      <c r="H716" s="180">
        <f>I716-G716</f>
        <v>813.8000000000002</v>
      </c>
      <c r="I716" s="180">
        <v>2530.4</v>
      </c>
      <c r="J716" s="225">
        <f t="shared" si="103"/>
        <v>355</v>
      </c>
      <c r="K716" s="19"/>
    </row>
    <row r="717" spans="2:11" ht="12.75">
      <c r="B717" s="111">
        <f t="shared" si="102"/>
        <v>355.5</v>
      </c>
      <c r="C717" s="227">
        <f>C716+1*(C726-C716)/10</f>
        <v>176.868</v>
      </c>
      <c r="D717" s="93">
        <f>D716+1*(D726-D716)/10</f>
        <v>0.00181724</v>
      </c>
      <c r="E717" s="96">
        <f aca="true" t="shared" si="104" ref="E717:E725">F717-D717</f>
        <v>0.00594976</v>
      </c>
      <c r="F717" s="228">
        <f>F716+1*(F726-F716)/10</f>
        <v>0.007767</v>
      </c>
      <c r="G717" s="98">
        <f>G716+1*(G726-G716)/10</f>
        <v>1721.36</v>
      </c>
      <c r="H717" s="98">
        <f aca="true" t="shared" si="105" ref="H717:H725">I717-G717</f>
        <v>804.5400000000002</v>
      </c>
      <c r="I717" s="98">
        <f>I716+1*(I726-I716)/10</f>
        <v>2525.9</v>
      </c>
      <c r="J717" s="225">
        <f t="shared" si="103"/>
        <v>355.5</v>
      </c>
      <c r="K717" s="19"/>
    </row>
    <row r="718" spans="2:11" ht="12.75">
      <c r="B718" s="111">
        <f t="shared" si="102"/>
        <v>356</v>
      </c>
      <c r="C718" s="227">
        <f>C716+2*(C726-C716)/10</f>
        <v>177.966</v>
      </c>
      <c r="D718" s="93">
        <f>D716+2*(D726-D716)/10</f>
        <v>0.00182598</v>
      </c>
      <c r="E718" s="96">
        <f t="shared" si="104"/>
        <v>0.00584902</v>
      </c>
      <c r="F718" s="228">
        <f>F716+2*(F726-F716)/10</f>
        <v>0.0076749999999999995</v>
      </c>
      <c r="G718" s="98">
        <f>G716+2*(G726-G716)/10</f>
        <v>1726.12</v>
      </c>
      <c r="H718" s="98">
        <f t="shared" si="105"/>
        <v>795.2800000000002</v>
      </c>
      <c r="I718" s="98">
        <f>I716+2*(I726-I716)/10</f>
        <v>2521.4</v>
      </c>
      <c r="J718" s="225">
        <f t="shared" si="103"/>
        <v>356</v>
      </c>
      <c r="K718" s="19"/>
    </row>
    <row r="719" spans="2:11" ht="12.75">
      <c r="B719" s="111">
        <f t="shared" si="102"/>
        <v>356.5</v>
      </c>
      <c r="C719" s="227">
        <f>C716+3*(C726-C716)/10</f>
        <v>179.06400000000002</v>
      </c>
      <c r="D719" s="93">
        <f>D716+3*(D726-D716)/10</f>
        <v>0.00183472</v>
      </c>
      <c r="E719" s="96">
        <f t="shared" si="104"/>
        <v>0.00574828</v>
      </c>
      <c r="F719" s="228">
        <f>F716+3*(F726-F716)/10</f>
        <v>0.0075829999999999995</v>
      </c>
      <c r="G719" s="98">
        <f>G716+3*(G726-G716)/10</f>
        <v>1730.8799999999999</v>
      </c>
      <c r="H719" s="98">
        <f t="shared" si="105"/>
        <v>786.0200000000002</v>
      </c>
      <c r="I719" s="98">
        <f>I716+3*(I726-I716)/10</f>
        <v>2516.9</v>
      </c>
      <c r="J719" s="225">
        <f t="shared" si="103"/>
        <v>356.5</v>
      </c>
      <c r="K719" s="19"/>
    </row>
    <row r="720" spans="2:11" ht="12.75">
      <c r="B720" s="111">
        <f t="shared" si="102"/>
        <v>357</v>
      </c>
      <c r="C720" s="227">
        <f>C716+4*(C726-C716)/10</f>
        <v>180.162</v>
      </c>
      <c r="D720" s="93">
        <f>D716+4*(D726-D716)/10</f>
        <v>0.00184346</v>
      </c>
      <c r="E720" s="96">
        <f t="shared" si="104"/>
        <v>0.0056475399999999995</v>
      </c>
      <c r="F720" s="228">
        <f>F716+4*(F726-F716)/10</f>
        <v>0.007490999999999999</v>
      </c>
      <c r="G720" s="98">
        <f>G716+4*(G726-G716)/10</f>
        <v>1735.6399999999999</v>
      </c>
      <c r="H720" s="98">
        <f t="shared" si="105"/>
        <v>776.7600000000002</v>
      </c>
      <c r="I720" s="98">
        <f>I716+4*(I726-I716)/10</f>
        <v>2512.4</v>
      </c>
      <c r="J720" s="225">
        <f t="shared" si="103"/>
        <v>357</v>
      </c>
      <c r="K720" s="19"/>
    </row>
    <row r="721" spans="2:11" ht="12.75">
      <c r="B721" s="111">
        <f t="shared" si="102"/>
        <v>357.5</v>
      </c>
      <c r="C721" s="227">
        <f>C716+5*(C726-C716)/10</f>
        <v>181.26</v>
      </c>
      <c r="D721" s="93">
        <f>D716+5*(D726-D716)/10</f>
        <v>0.0018522</v>
      </c>
      <c r="E721" s="96">
        <f t="shared" si="104"/>
        <v>0.005546799999999999</v>
      </c>
      <c r="F721" s="228">
        <f>F716+5*(F726-F716)/10</f>
        <v>0.007398999999999999</v>
      </c>
      <c r="G721" s="98">
        <f>G716+5*(G726-G716)/10</f>
        <v>1740.4</v>
      </c>
      <c r="H721" s="98">
        <f t="shared" si="105"/>
        <v>767.5</v>
      </c>
      <c r="I721" s="98">
        <f>I716+5*(I726-I716)/10</f>
        <v>2507.9</v>
      </c>
      <c r="J721" s="225">
        <f t="shared" si="103"/>
        <v>357.5</v>
      </c>
      <c r="K721" s="19"/>
    </row>
    <row r="722" spans="2:11" ht="12.75">
      <c r="B722" s="111">
        <f t="shared" si="102"/>
        <v>358</v>
      </c>
      <c r="C722" s="227">
        <f>C716+6*(C726-C716)/10</f>
        <v>182.358</v>
      </c>
      <c r="D722" s="93">
        <f>D716+6*(D726-D716)/10</f>
        <v>0.00186094</v>
      </c>
      <c r="E722" s="96">
        <f t="shared" si="104"/>
        <v>0.00544606</v>
      </c>
      <c r="F722" s="228">
        <f>F716+6*(F726-F716)/10</f>
        <v>0.007307</v>
      </c>
      <c r="G722" s="98">
        <f>G716+6*(G726-G716)/10</f>
        <v>1745.16</v>
      </c>
      <c r="H722" s="98">
        <f t="shared" si="105"/>
        <v>758.24</v>
      </c>
      <c r="I722" s="98">
        <f>I716+6*(I726-I716)/10</f>
        <v>2503.4</v>
      </c>
      <c r="J722" s="225">
        <f t="shared" si="103"/>
        <v>358</v>
      </c>
      <c r="K722" s="19"/>
    </row>
    <row r="723" spans="2:11" ht="12.75">
      <c r="B723" s="111">
        <f t="shared" si="102"/>
        <v>358.5</v>
      </c>
      <c r="C723" s="227">
        <f>C716+7*(C726-C716)/10</f>
        <v>183.45600000000002</v>
      </c>
      <c r="D723" s="93">
        <f>D716+7*(D726-D716)/10</f>
        <v>0.00186968</v>
      </c>
      <c r="E723" s="96">
        <f t="shared" si="104"/>
        <v>0.00534532</v>
      </c>
      <c r="F723" s="228">
        <f>F716+7*(F726-F716)/10</f>
        <v>0.007215</v>
      </c>
      <c r="G723" s="98">
        <f>G716+7*(G726-G716)/10</f>
        <v>1749.92</v>
      </c>
      <c r="H723" s="98">
        <f t="shared" si="105"/>
        <v>748.98</v>
      </c>
      <c r="I723" s="98">
        <f>I716+7*(I726-I716)/10</f>
        <v>2498.9</v>
      </c>
      <c r="J723" s="225">
        <f t="shared" si="103"/>
        <v>358.5</v>
      </c>
      <c r="K723" s="19"/>
    </row>
    <row r="724" spans="2:11" ht="12.75">
      <c r="B724" s="111">
        <f t="shared" si="102"/>
        <v>359</v>
      </c>
      <c r="C724" s="227">
        <f>C716+8*(C726-C716)/10</f>
        <v>184.554</v>
      </c>
      <c r="D724" s="93">
        <f>D716+8*(D726-D716)/10</f>
        <v>0.00187842</v>
      </c>
      <c r="E724" s="96">
        <f t="shared" si="104"/>
        <v>0.00524458</v>
      </c>
      <c r="F724" s="228">
        <f>F716+8*(F726-F716)/10</f>
        <v>0.007123</v>
      </c>
      <c r="G724" s="98">
        <f>G716+8*(G726-G716)/10</f>
        <v>1754.68</v>
      </c>
      <c r="H724" s="98">
        <f t="shared" si="105"/>
        <v>739.72</v>
      </c>
      <c r="I724" s="98">
        <f>I716+8*(I726-I716)/10</f>
        <v>2494.4</v>
      </c>
      <c r="J724" s="225">
        <f t="shared" si="103"/>
        <v>359</v>
      </c>
      <c r="K724" s="19"/>
    </row>
    <row r="725" spans="2:11" ht="12.75">
      <c r="B725" s="111">
        <f t="shared" si="102"/>
        <v>359.5</v>
      </c>
      <c r="C725" s="227">
        <f>C716+9*(C726-C716)/10</f>
        <v>185.652</v>
      </c>
      <c r="D725" s="93">
        <f>D716+9*(D726-D716)/10</f>
        <v>0.0018871600000000001</v>
      </c>
      <c r="E725" s="96">
        <f t="shared" si="104"/>
        <v>0.00514384</v>
      </c>
      <c r="F725" s="228">
        <f>F716+9*(F726-F716)/10</f>
        <v>0.007031</v>
      </c>
      <c r="G725" s="98">
        <f>G716+9*(G726-G716)/10</f>
        <v>1759.44</v>
      </c>
      <c r="H725" s="98">
        <f t="shared" si="105"/>
        <v>730.46</v>
      </c>
      <c r="I725" s="98">
        <f>I716+9*(I726-I716)/10</f>
        <v>2489.9</v>
      </c>
      <c r="J725" s="225">
        <f t="shared" si="103"/>
        <v>359.5</v>
      </c>
      <c r="K725" s="19"/>
    </row>
    <row r="726" spans="2:11" ht="12.75">
      <c r="B726" s="111">
        <f t="shared" si="102"/>
        <v>360</v>
      </c>
      <c r="C726" s="227">
        <v>186.75</v>
      </c>
      <c r="D726" s="93">
        <v>0.0018959</v>
      </c>
      <c r="E726" s="180">
        <f>F726-D726</f>
        <v>0.0050431</v>
      </c>
      <c r="F726" s="180">
        <v>0.006939</v>
      </c>
      <c r="G726" s="180">
        <v>1764.2</v>
      </c>
      <c r="H726" s="180">
        <f>I726-G726</f>
        <v>721.2</v>
      </c>
      <c r="I726" s="180">
        <v>2485.4</v>
      </c>
      <c r="J726" s="225">
        <f t="shared" si="103"/>
        <v>360</v>
      </c>
      <c r="K726" s="19"/>
    </row>
    <row r="727" spans="2:11" ht="12.75">
      <c r="B727" s="111">
        <f t="shared" si="102"/>
        <v>360.5</v>
      </c>
      <c r="C727" s="227">
        <f>C726+1*(C736-C726)/10</f>
        <v>187.90800000000002</v>
      </c>
      <c r="D727" s="93">
        <f>D726+1*(D736-D726)/10</f>
        <v>0.00190791</v>
      </c>
      <c r="E727" s="96">
        <f aca="true" t="shared" si="106" ref="E727:E735">F727-D727</f>
        <v>0.00493829</v>
      </c>
      <c r="F727" s="228">
        <f>F726+1*(F736-F726)/10</f>
        <v>0.0068462</v>
      </c>
      <c r="G727" s="98">
        <f>G726+1*(G736-G726)/10</f>
        <v>1769.58</v>
      </c>
      <c r="H727" s="98">
        <f aca="true" t="shared" si="107" ref="H727:H735">I727-G727</f>
        <v>710.0799999999999</v>
      </c>
      <c r="I727" s="98">
        <f>I726+1*(I736-I726)/10</f>
        <v>2479.66</v>
      </c>
      <c r="J727" s="225">
        <f t="shared" si="103"/>
        <v>360.5</v>
      </c>
      <c r="K727" s="19"/>
    </row>
    <row r="728" spans="2:11" ht="12.75">
      <c r="B728" s="111">
        <f t="shared" si="102"/>
        <v>361</v>
      </c>
      <c r="C728" s="227">
        <f>C726+2*(C736-C726)/10</f>
        <v>189.066</v>
      </c>
      <c r="D728" s="93">
        <f>D726+2*(D736-D726)/10</f>
        <v>0.00191992</v>
      </c>
      <c r="E728" s="96">
        <f t="shared" si="106"/>
        <v>0.004833479999999999</v>
      </c>
      <c r="F728" s="228">
        <f>F726+2*(F736-F726)/10</f>
        <v>0.0067534</v>
      </c>
      <c r="G728" s="98">
        <f>G726+2*(G736-G726)/10</f>
        <v>1774.96</v>
      </c>
      <c r="H728" s="98">
        <f t="shared" si="107"/>
        <v>698.96</v>
      </c>
      <c r="I728" s="98">
        <f>I726+2*(I736-I726)/10</f>
        <v>2473.92</v>
      </c>
      <c r="J728" s="225">
        <f t="shared" si="103"/>
        <v>361</v>
      </c>
      <c r="K728" s="19"/>
    </row>
    <row r="729" spans="2:11" ht="12.75">
      <c r="B729" s="111">
        <f t="shared" si="102"/>
        <v>361.5</v>
      </c>
      <c r="C729" s="227">
        <f>C726+3*(C736-C726)/10</f>
        <v>190.224</v>
      </c>
      <c r="D729" s="93">
        <f>D726+3*(D736-D726)/10</f>
        <v>0.00193193</v>
      </c>
      <c r="E729" s="96">
        <f t="shared" si="106"/>
        <v>0.00472867</v>
      </c>
      <c r="F729" s="228">
        <f>F726+3*(F736-F726)/10</f>
        <v>0.0066606</v>
      </c>
      <c r="G729" s="98">
        <f>G726+3*(G736-G726)/10</f>
        <v>1780.3400000000001</v>
      </c>
      <c r="H729" s="98">
        <f t="shared" si="107"/>
        <v>687.8400000000001</v>
      </c>
      <c r="I729" s="98">
        <f>I726+3*(I736-I726)/10</f>
        <v>2468.1800000000003</v>
      </c>
      <c r="J729" s="225">
        <f t="shared" si="103"/>
        <v>361.5</v>
      </c>
      <c r="K729" s="19"/>
    </row>
    <row r="730" spans="2:11" ht="12.75">
      <c r="B730" s="111">
        <f t="shared" si="102"/>
        <v>362</v>
      </c>
      <c r="C730" s="227">
        <f>C726+4*(C736-C726)/10</f>
        <v>191.382</v>
      </c>
      <c r="D730" s="93">
        <f>D726+4*(D736-D726)/10</f>
        <v>0.0019439400000000001</v>
      </c>
      <c r="E730" s="96">
        <f t="shared" si="106"/>
        <v>0.00462386</v>
      </c>
      <c r="F730" s="228">
        <f>F726+4*(F736-F726)/10</f>
        <v>0.0065677999999999995</v>
      </c>
      <c r="G730" s="98">
        <f>G726+4*(G736-G726)/10</f>
        <v>1785.72</v>
      </c>
      <c r="H730" s="98">
        <f t="shared" si="107"/>
        <v>676.72</v>
      </c>
      <c r="I730" s="98">
        <f>I726+4*(I736-I726)/10</f>
        <v>2462.44</v>
      </c>
      <c r="J730" s="225">
        <f t="shared" si="103"/>
        <v>362</v>
      </c>
      <c r="K730" s="19"/>
    </row>
    <row r="731" spans="2:11" ht="12.75">
      <c r="B731" s="111">
        <f t="shared" si="102"/>
        <v>362.5</v>
      </c>
      <c r="C731" s="227">
        <f>C726+5*(C736-C726)/10</f>
        <v>192.54000000000002</v>
      </c>
      <c r="D731" s="93">
        <f>D726+5*(D736-D726)/10</f>
        <v>0.00195595</v>
      </c>
      <c r="E731" s="96">
        <f t="shared" si="106"/>
        <v>0.00451905</v>
      </c>
      <c r="F731" s="228">
        <f>F726+5*(F736-F726)/10</f>
        <v>0.006475</v>
      </c>
      <c r="G731" s="98">
        <f>G726+5*(G736-G726)/10</f>
        <v>1791.1</v>
      </c>
      <c r="H731" s="98">
        <f t="shared" si="107"/>
        <v>665.5999999999999</v>
      </c>
      <c r="I731" s="98">
        <f>I726+5*(I736-I726)/10</f>
        <v>2456.7</v>
      </c>
      <c r="J731" s="225">
        <f t="shared" si="103"/>
        <v>362.5</v>
      </c>
      <c r="K731" s="19"/>
    </row>
    <row r="732" spans="2:11" ht="12.75">
      <c r="B732" s="111">
        <f t="shared" si="102"/>
        <v>363</v>
      </c>
      <c r="C732" s="227">
        <f>C726+6*(C736-C726)/10</f>
        <v>193.698</v>
      </c>
      <c r="D732" s="93">
        <f>D726+6*(D736-D726)/10</f>
        <v>0.00196796</v>
      </c>
      <c r="E732" s="96">
        <f t="shared" si="106"/>
        <v>0.00441424</v>
      </c>
      <c r="F732" s="228">
        <f>F726+6*(F736-F726)/10</f>
        <v>0.0063822</v>
      </c>
      <c r="G732" s="98">
        <f>G726+6*(G736-G726)/10</f>
        <v>1796.48</v>
      </c>
      <c r="H732" s="98">
        <f t="shared" si="107"/>
        <v>654.48</v>
      </c>
      <c r="I732" s="98">
        <f>I726+6*(I736-I726)/10</f>
        <v>2450.96</v>
      </c>
      <c r="J732" s="225">
        <f t="shared" si="103"/>
        <v>363</v>
      </c>
      <c r="K732" s="19"/>
    </row>
    <row r="733" spans="2:11" ht="12.75">
      <c r="B733" s="111">
        <f t="shared" si="102"/>
        <v>363.5</v>
      </c>
      <c r="C733" s="227">
        <f>C726+7*(C736-C726)/10</f>
        <v>194.856</v>
      </c>
      <c r="D733" s="93">
        <f>D726+7*(D736-D726)/10</f>
        <v>0.00197997</v>
      </c>
      <c r="E733" s="96">
        <f t="shared" si="106"/>
        <v>0.0043094299999999995</v>
      </c>
      <c r="F733" s="228">
        <f>F726+7*(F736-F726)/10</f>
        <v>0.0062894</v>
      </c>
      <c r="G733" s="98">
        <f>G726+7*(G736-G726)/10</f>
        <v>1801.8600000000001</v>
      </c>
      <c r="H733" s="98">
        <f t="shared" si="107"/>
        <v>643.3600000000001</v>
      </c>
      <c r="I733" s="98">
        <f>I726+7*(I736-I726)/10</f>
        <v>2445.2200000000003</v>
      </c>
      <c r="J733" s="225">
        <f t="shared" si="103"/>
        <v>363.5</v>
      </c>
      <c r="K733" s="19"/>
    </row>
    <row r="734" spans="2:11" ht="12.75">
      <c r="B734" s="111">
        <f t="shared" si="102"/>
        <v>364</v>
      </c>
      <c r="C734" s="227">
        <f>C726+8*(C736-C726)/10</f>
        <v>196.014</v>
      </c>
      <c r="D734" s="93">
        <f>D726+8*(D736-D726)/10</f>
        <v>0.00199198</v>
      </c>
      <c r="E734" s="96">
        <f t="shared" si="106"/>
        <v>0.00420462</v>
      </c>
      <c r="F734" s="228">
        <f>F726+8*(F736-F726)/10</f>
        <v>0.0061966</v>
      </c>
      <c r="G734" s="98">
        <f>G726+8*(G736-G726)/10</f>
        <v>1807.24</v>
      </c>
      <c r="H734" s="98">
        <f t="shared" si="107"/>
        <v>632.24</v>
      </c>
      <c r="I734" s="98">
        <f>I726+8*(I736-I726)/10</f>
        <v>2439.48</v>
      </c>
      <c r="J734" s="225">
        <f t="shared" si="103"/>
        <v>364</v>
      </c>
      <c r="K734" s="19"/>
    </row>
    <row r="735" spans="2:11" ht="12.75">
      <c r="B735" s="111">
        <f t="shared" si="102"/>
        <v>364.5</v>
      </c>
      <c r="C735" s="227">
        <f>C726+9*(C736-C726)/10</f>
        <v>197.17200000000003</v>
      </c>
      <c r="D735" s="93">
        <f>D726+9*(D736-D726)/10</f>
        <v>0.00200399</v>
      </c>
      <c r="E735" s="96">
        <f t="shared" si="106"/>
        <v>0.004099809999999999</v>
      </c>
      <c r="F735" s="228">
        <f>F726+9*(F736-F726)/10</f>
        <v>0.0061037999999999995</v>
      </c>
      <c r="G735" s="98">
        <f>G726+9*(G736-G726)/10</f>
        <v>1812.62</v>
      </c>
      <c r="H735" s="98">
        <f t="shared" si="107"/>
        <v>621.1199999999999</v>
      </c>
      <c r="I735" s="98">
        <f>I726+9*(I736-I726)/10</f>
        <v>2433.74</v>
      </c>
      <c r="J735" s="225">
        <f t="shared" si="103"/>
        <v>364.5</v>
      </c>
      <c r="K735" s="19"/>
    </row>
    <row r="736" spans="2:11" ht="12.75">
      <c r="B736" s="111">
        <f t="shared" si="102"/>
        <v>365</v>
      </c>
      <c r="C736" s="227">
        <v>198.33</v>
      </c>
      <c r="D736" s="93">
        <v>0.002016</v>
      </c>
      <c r="E736" s="180">
        <f>F736-D736</f>
        <v>0.003995</v>
      </c>
      <c r="F736" s="180">
        <v>0.006011</v>
      </c>
      <c r="G736" s="180">
        <v>1818</v>
      </c>
      <c r="H736" s="180">
        <f>I736-G736</f>
        <v>610</v>
      </c>
      <c r="I736" s="180">
        <v>2428</v>
      </c>
      <c r="J736" s="225">
        <f t="shared" si="103"/>
        <v>365</v>
      </c>
      <c r="K736" s="19"/>
    </row>
    <row r="737" spans="2:11" ht="12.75">
      <c r="B737" s="111">
        <f t="shared" si="102"/>
        <v>365.5</v>
      </c>
      <c r="C737" s="227">
        <f>C736+1*(C746-C736)/10</f>
        <v>199.55100000000002</v>
      </c>
      <c r="D737" s="93">
        <f>D736+1*(D746-D736)/10</f>
        <v>0.00203576</v>
      </c>
      <c r="E737" s="96">
        <f aca="true" t="shared" si="108" ref="E737:E745">F737-D737</f>
        <v>0.008346139999999998</v>
      </c>
      <c r="F737" s="228">
        <f>F736+1*(F746-F736)/10</f>
        <v>0.0103819</v>
      </c>
      <c r="G737" s="98">
        <f>G736+1*(G746-G736)/10</f>
        <v>1825.22</v>
      </c>
      <c r="H737" s="98">
        <f aca="true" t="shared" si="109" ref="H737:H745">I737-G737</f>
        <v>594.26</v>
      </c>
      <c r="I737" s="98">
        <f>I736+1*(I746-I736)/10</f>
        <v>2419.48</v>
      </c>
      <c r="J737" s="225">
        <f t="shared" si="103"/>
        <v>365.5</v>
      </c>
      <c r="K737" s="19"/>
    </row>
    <row r="738" spans="2:11" ht="12.75">
      <c r="B738" s="111">
        <f t="shared" si="102"/>
        <v>366</v>
      </c>
      <c r="C738" s="227">
        <f>C736+2*(C746-C736)/10</f>
        <v>200.77200000000002</v>
      </c>
      <c r="D738" s="93">
        <f>D736+2*(D746-D736)/10</f>
        <v>0.00205552</v>
      </c>
      <c r="E738" s="96">
        <f t="shared" si="108"/>
        <v>0.01269728</v>
      </c>
      <c r="F738" s="228">
        <f>F736+2*(F746-F736)/10</f>
        <v>0.0147528</v>
      </c>
      <c r="G738" s="98">
        <f>G736+2*(G746-G736)/10</f>
        <v>1832.44</v>
      </c>
      <c r="H738" s="98">
        <f t="shared" si="109"/>
        <v>578.52</v>
      </c>
      <c r="I738" s="98">
        <f>I736+2*(I746-I736)/10</f>
        <v>2410.96</v>
      </c>
      <c r="J738" s="225">
        <f t="shared" si="103"/>
        <v>366</v>
      </c>
      <c r="K738" s="19"/>
    </row>
    <row r="739" spans="2:11" ht="12.75">
      <c r="B739" s="111">
        <f t="shared" si="102"/>
        <v>366.5</v>
      </c>
      <c r="C739" s="227">
        <f>C736+3*(C746-C736)/10</f>
        <v>201.993</v>
      </c>
      <c r="D739" s="93">
        <f>D736+3*(D746-D736)/10</f>
        <v>0.00207528</v>
      </c>
      <c r="E739" s="96">
        <f t="shared" si="108"/>
        <v>0.01704842</v>
      </c>
      <c r="F739" s="228">
        <f>F736+3*(F746-F736)/10</f>
        <v>0.0191237</v>
      </c>
      <c r="G739" s="98">
        <f>G736+3*(G746-G736)/10</f>
        <v>1839.66</v>
      </c>
      <c r="H739" s="98">
        <f t="shared" si="109"/>
        <v>562.78</v>
      </c>
      <c r="I739" s="98">
        <f>I736+3*(I746-I736)/10</f>
        <v>2402.44</v>
      </c>
      <c r="J739" s="225">
        <f t="shared" si="103"/>
        <v>366.5</v>
      </c>
      <c r="K739" s="19"/>
    </row>
    <row r="740" spans="2:11" ht="12.75">
      <c r="B740" s="111">
        <f t="shared" si="102"/>
        <v>367</v>
      </c>
      <c r="C740" s="227">
        <f>C736+4*(C746-C736)/10</f>
        <v>203.214</v>
      </c>
      <c r="D740" s="93">
        <f>D736+4*(D746-D736)/10</f>
        <v>0.00209504</v>
      </c>
      <c r="E740" s="96">
        <f t="shared" si="108"/>
        <v>0.021399559999999998</v>
      </c>
      <c r="F740" s="228">
        <f>F736+4*(F746-F736)/10</f>
        <v>0.023494599999999997</v>
      </c>
      <c r="G740" s="98">
        <f>G736+4*(G746-G736)/10</f>
        <v>1846.88</v>
      </c>
      <c r="H740" s="98">
        <f t="shared" si="109"/>
        <v>547.04</v>
      </c>
      <c r="I740" s="98">
        <f>I736+4*(I746-I736)/10</f>
        <v>2393.92</v>
      </c>
      <c r="J740" s="225">
        <f t="shared" si="103"/>
        <v>367</v>
      </c>
      <c r="K740" s="19"/>
    </row>
    <row r="741" spans="2:11" ht="12.75">
      <c r="B741" s="111">
        <f t="shared" si="102"/>
        <v>367.5</v>
      </c>
      <c r="C741" s="227">
        <f>C736+5*(C746-C736)/10</f>
        <v>204.435</v>
      </c>
      <c r="D741" s="93">
        <f>D736+5*(D746-D736)/10</f>
        <v>0.0021148</v>
      </c>
      <c r="E741" s="96">
        <f t="shared" si="108"/>
        <v>0.025750699999999998</v>
      </c>
      <c r="F741" s="228">
        <f>F736+5*(F746-F736)/10</f>
        <v>0.027865499999999998</v>
      </c>
      <c r="G741" s="98">
        <f>G736+5*(G746-G736)/10</f>
        <v>1854.1</v>
      </c>
      <c r="H741" s="98">
        <f t="shared" si="109"/>
        <v>531.3000000000002</v>
      </c>
      <c r="I741" s="98">
        <f>I736+5*(I746-I736)/10</f>
        <v>2385.4</v>
      </c>
      <c r="J741" s="225">
        <f t="shared" si="103"/>
        <v>367.5</v>
      </c>
      <c r="K741" s="19"/>
    </row>
    <row r="742" spans="2:11" ht="12.75">
      <c r="B742" s="111">
        <f t="shared" si="102"/>
        <v>368</v>
      </c>
      <c r="C742" s="227">
        <f>C736+6*(C746-C736)/10</f>
        <v>205.656</v>
      </c>
      <c r="D742" s="93">
        <f>D736+6*(D746-D736)/10</f>
        <v>0.00213456</v>
      </c>
      <c r="E742" s="96">
        <f t="shared" si="108"/>
        <v>0.030101839999999998</v>
      </c>
      <c r="F742" s="228">
        <f>F736+6*(F746-F736)/10</f>
        <v>0.0322364</v>
      </c>
      <c r="G742" s="98">
        <f>G736+6*(G746-G736)/10</f>
        <v>1861.32</v>
      </c>
      <c r="H742" s="98">
        <f t="shared" si="109"/>
        <v>515.5600000000002</v>
      </c>
      <c r="I742" s="98">
        <f>I736+6*(I746-I736)/10</f>
        <v>2376.88</v>
      </c>
      <c r="J742" s="225">
        <f t="shared" si="103"/>
        <v>368</v>
      </c>
      <c r="K742" s="19"/>
    </row>
    <row r="743" spans="2:11" ht="12.75">
      <c r="B743" s="111">
        <f t="shared" si="102"/>
        <v>368.5</v>
      </c>
      <c r="C743" s="227">
        <f>C736+7*(C746-C736)/10</f>
        <v>206.877</v>
      </c>
      <c r="D743" s="93">
        <f>D736+7*(D746-D736)/10</f>
        <v>0.00215432</v>
      </c>
      <c r="E743" s="96">
        <f t="shared" si="108"/>
        <v>0.03445298</v>
      </c>
      <c r="F743" s="228">
        <f>F736+7*(F746-F736)/10</f>
        <v>0.0366073</v>
      </c>
      <c r="G743" s="98">
        <f>G736+7*(G746-G736)/10</f>
        <v>1868.54</v>
      </c>
      <c r="H743" s="98">
        <f t="shared" si="109"/>
        <v>499.82000000000016</v>
      </c>
      <c r="I743" s="98">
        <f>I736+7*(I746-I736)/10</f>
        <v>2368.36</v>
      </c>
      <c r="J743" s="225">
        <f t="shared" si="103"/>
        <v>368.5</v>
      </c>
      <c r="K743" s="19"/>
    </row>
    <row r="744" spans="2:11" ht="12.75">
      <c r="B744" s="111">
        <f t="shared" si="102"/>
        <v>369</v>
      </c>
      <c r="C744" s="227">
        <f>C736+8*(C746-C736)/10</f>
        <v>208.09799999999998</v>
      </c>
      <c r="D744" s="93">
        <f>D736+8*(D746-D736)/10</f>
        <v>0.00217408</v>
      </c>
      <c r="E744" s="96">
        <f t="shared" si="108"/>
        <v>0.03880412</v>
      </c>
      <c r="F744" s="228">
        <f>F736+8*(F746-F736)/10</f>
        <v>0.0409782</v>
      </c>
      <c r="G744" s="98">
        <f>G736+8*(G746-G736)/10</f>
        <v>1875.76</v>
      </c>
      <c r="H744" s="98">
        <f t="shared" si="109"/>
        <v>484.08000000000015</v>
      </c>
      <c r="I744" s="98">
        <f>I736+8*(I746-I736)/10</f>
        <v>2359.84</v>
      </c>
      <c r="J744" s="225">
        <f t="shared" si="103"/>
        <v>369</v>
      </c>
      <c r="K744" s="19"/>
    </row>
    <row r="745" spans="2:11" ht="12.75">
      <c r="B745" s="111">
        <f t="shared" si="102"/>
        <v>369.5</v>
      </c>
      <c r="C745" s="227">
        <f>C736+9*(C746-C736)/10</f>
        <v>209.319</v>
      </c>
      <c r="D745" s="93">
        <f>D736+9*(D746-D736)/10</f>
        <v>0.00219384</v>
      </c>
      <c r="E745" s="96">
        <f t="shared" si="108"/>
        <v>0.04315526</v>
      </c>
      <c r="F745" s="228">
        <f>F736+9*(F746-F736)/10</f>
        <v>0.0453491</v>
      </c>
      <c r="G745" s="98">
        <f>G736+9*(G746-G736)/10</f>
        <v>1882.98</v>
      </c>
      <c r="H745" s="98">
        <f t="shared" si="109"/>
        <v>468.34000000000015</v>
      </c>
      <c r="I745" s="98">
        <f>I736+9*(I746-I736)/10</f>
        <v>2351.32</v>
      </c>
      <c r="J745" s="225">
        <f t="shared" si="103"/>
        <v>369.5</v>
      </c>
      <c r="K745" s="19"/>
    </row>
    <row r="746" spans="2:11" ht="12.75">
      <c r="B746" s="111">
        <f t="shared" si="102"/>
        <v>370</v>
      </c>
      <c r="C746" s="227">
        <v>210.54</v>
      </c>
      <c r="D746" s="93">
        <v>0.0022136</v>
      </c>
      <c r="E746" s="180">
        <f>F746-D746</f>
        <v>0.0475064</v>
      </c>
      <c r="F746" s="180">
        <v>0.04972</v>
      </c>
      <c r="G746" s="180">
        <v>1890.2</v>
      </c>
      <c r="H746" s="180">
        <f>I746-G746</f>
        <v>452.60000000000014</v>
      </c>
      <c r="I746" s="180">
        <v>2342.8</v>
      </c>
      <c r="J746" s="225">
        <f t="shared" si="103"/>
        <v>370</v>
      </c>
      <c r="K746" s="19"/>
    </row>
    <row r="747" spans="2:11" ht="12.75">
      <c r="B747" s="111">
        <f t="shared" si="102"/>
        <v>370.5</v>
      </c>
      <c r="C747" s="227">
        <f>C746+1*(C754-C746)/8</f>
        <v>211.82375</v>
      </c>
      <c r="D747" s="93">
        <f aca="true" t="shared" si="110" ref="D747:I747">D746+1*(D754-D746)/8</f>
        <v>0.0022922375</v>
      </c>
      <c r="E747" s="93">
        <f t="shared" si="110"/>
        <v>0.0416458875</v>
      </c>
      <c r="F747" s="229">
        <f t="shared" si="110"/>
        <v>0.043938125</v>
      </c>
      <c r="G747" s="98">
        <f t="shared" si="110"/>
        <v>1909.7625</v>
      </c>
      <c r="H747" s="98">
        <f t="shared" si="110"/>
        <v>409.7125000000001</v>
      </c>
      <c r="I747" s="98">
        <f t="shared" si="110"/>
        <v>2319.4750000000004</v>
      </c>
      <c r="J747" s="225">
        <f t="shared" si="103"/>
        <v>370.5</v>
      </c>
      <c r="K747" s="19"/>
    </row>
    <row r="748" spans="2:11" ht="12.75">
      <c r="B748" s="111">
        <f t="shared" si="102"/>
        <v>371</v>
      </c>
      <c r="C748" s="227">
        <f>C746+2*(C754-C746)/8</f>
        <v>213.1075</v>
      </c>
      <c r="D748" s="93">
        <f aca="true" t="shared" si="111" ref="D748:I748">D746+2*(D754-D746)/8</f>
        <v>0.002370875</v>
      </c>
      <c r="E748" s="93">
        <f t="shared" si="111"/>
        <v>0.035785374999999994</v>
      </c>
      <c r="F748" s="229">
        <f t="shared" si="111"/>
        <v>0.03815625</v>
      </c>
      <c r="G748" s="98">
        <f t="shared" si="111"/>
        <v>1929.325</v>
      </c>
      <c r="H748" s="98">
        <f t="shared" si="111"/>
        <v>366.82500000000005</v>
      </c>
      <c r="I748" s="98">
        <f t="shared" si="111"/>
        <v>2296.15</v>
      </c>
      <c r="J748" s="225">
        <f t="shared" si="103"/>
        <v>371</v>
      </c>
      <c r="K748" s="19"/>
    </row>
    <row r="749" spans="2:11" ht="12.75">
      <c r="B749" s="111">
        <f t="shared" si="102"/>
        <v>371.5</v>
      </c>
      <c r="C749" s="227">
        <f>C746+3*(C754-C746)/8</f>
        <v>214.39124999999999</v>
      </c>
      <c r="D749" s="93">
        <f aca="true" t="shared" si="112" ref="D749:I749">D746+3*(D754-D746)/8</f>
        <v>0.0024495125</v>
      </c>
      <c r="E749" s="93">
        <f t="shared" si="112"/>
        <v>0.029924862499999996</v>
      </c>
      <c r="F749" s="229">
        <f t="shared" si="112"/>
        <v>0.032374375</v>
      </c>
      <c r="G749" s="98">
        <f t="shared" si="112"/>
        <v>1948.8875</v>
      </c>
      <c r="H749" s="98">
        <f t="shared" si="112"/>
        <v>323.9375</v>
      </c>
      <c r="I749" s="98">
        <f t="shared" si="112"/>
        <v>2272.825</v>
      </c>
      <c r="J749" s="225">
        <f t="shared" si="103"/>
        <v>371.5</v>
      </c>
      <c r="K749" s="19"/>
    </row>
    <row r="750" spans="2:11" ht="12.75">
      <c r="B750" s="111">
        <f t="shared" si="102"/>
        <v>372</v>
      </c>
      <c r="C750" s="227">
        <f>C746+4*(C754-C746)/8</f>
        <v>215.675</v>
      </c>
      <c r="D750" s="93">
        <f aca="true" t="shared" si="113" ref="D750:I750">D746+4*(D754-D746)/8</f>
        <v>0.00252815</v>
      </c>
      <c r="E750" s="93">
        <f t="shared" si="113"/>
        <v>0.024064349999999998</v>
      </c>
      <c r="F750" s="229">
        <f t="shared" si="113"/>
        <v>0.0265925</v>
      </c>
      <c r="G750" s="98">
        <f t="shared" si="113"/>
        <v>1968.45</v>
      </c>
      <c r="H750" s="98">
        <f t="shared" si="113"/>
        <v>281.04999999999995</v>
      </c>
      <c r="I750" s="98">
        <f t="shared" si="113"/>
        <v>2249.5</v>
      </c>
      <c r="J750" s="225">
        <f t="shared" si="103"/>
        <v>372</v>
      </c>
      <c r="K750" s="19"/>
    </row>
    <row r="751" spans="2:11" ht="12.75">
      <c r="B751" s="111">
        <f t="shared" si="102"/>
        <v>372.5</v>
      </c>
      <c r="C751" s="227">
        <f>C746+5*(C754-C746)/8</f>
        <v>216.95875</v>
      </c>
      <c r="D751" s="93">
        <f aca="true" t="shared" si="114" ref="D751:I751">D746+5*(D754-D746)/8</f>
        <v>0.0026067875</v>
      </c>
      <c r="E751" s="93">
        <f t="shared" si="114"/>
        <v>0.0182038375</v>
      </c>
      <c r="F751" s="229">
        <f t="shared" si="114"/>
        <v>0.020810625000000003</v>
      </c>
      <c r="G751" s="98">
        <f t="shared" si="114"/>
        <v>1988.0125</v>
      </c>
      <c r="H751" s="98">
        <f t="shared" si="114"/>
        <v>238.1624999999999</v>
      </c>
      <c r="I751" s="98">
        <f t="shared" si="114"/>
        <v>2226.175</v>
      </c>
      <c r="J751" s="225">
        <f t="shared" si="103"/>
        <v>372.5</v>
      </c>
      <c r="K751" s="19"/>
    </row>
    <row r="752" spans="2:11" ht="12.75">
      <c r="B752" s="111">
        <f t="shared" si="102"/>
        <v>373</v>
      </c>
      <c r="C752" s="227">
        <f>C746+6*(C754-C746)/8</f>
        <v>218.2425</v>
      </c>
      <c r="D752" s="93">
        <f aca="true" t="shared" si="115" ref="D752:I752">D746+6*(D754-D746)/8</f>
        <v>0.002685425</v>
      </c>
      <c r="E752" s="93">
        <f t="shared" si="115"/>
        <v>0.012343324999999995</v>
      </c>
      <c r="F752" s="229">
        <f t="shared" si="115"/>
        <v>0.01502875</v>
      </c>
      <c r="G752" s="98">
        <f t="shared" si="115"/>
        <v>2007.575</v>
      </c>
      <c r="H752" s="98">
        <f t="shared" si="115"/>
        <v>195.27499999999986</v>
      </c>
      <c r="I752" s="98">
        <f t="shared" si="115"/>
        <v>2202.85</v>
      </c>
      <c r="J752" s="225">
        <f t="shared" si="103"/>
        <v>373</v>
      </c>
      <c r="K752" s="19"/>
    </row>
    <row r="753" spans="2:11" ht="12.75">
      <c r="B753" s="111">
        <f t="shared" si="102"/>
        <v>373.5</v>
      </c>
      <c r="C753" s="227">
        <f>C746+7*(C754-C746)/8</f>
        <v>219.52625</v>
      </c>
      <c r="D753" s="93">
        <f aca="true" t="shared" si="116" ref="D753:I753">D746+7*(D754-D746)/8</f>
        <v>0.0027640625</v>
      </c>
      <c r="E753" s="93">
        <f t="shared" si="116"/>
        <v>0.006482812499999997</v>
      </c>
      <c r="F753" s="229">
        <f t="shared" si="116"/>
        <v>0.009246875000000002</v>
      </c>
      <c r="G753" s="98">
        <f t="shared" si="116"/>
        <v>2027.1375</v>
      </c>
      <c r="H753" s="98">
        <f t="shared" si="116"/>
        <v>152.38749999999982</v>
      </c>
      <c r="I753" s="98">
        <f t="shared" si="116"/>
        <v>2179.5249999999996</v>
      </c>
      <c r="J753" s="225">
        <f t="shared" si="103"/>
        <v>373.5</v>
      </c>
      <c r="K753" s="19"/>
    </row>
    <row r="754" spans="2:11" ht="13.5" thickBot="1">
      <c r="B754" s="112">
        <f t="shared" si="102"/>
        <v>374</v>
      </c>
      <c r="C754" s="230">
        <v>220.81</v>
      </c>
      <c r="D754" s="231">
        <v>0.0028427</v>
      </c>
      <c r="E754" s="232">
        <f>F754-D754</f>
        <v>0.0006223000000000001</v>
      </c>
      <c r="F754" s="232">
        <v>0.003465</v>
      </c>
      <c r="G754" s="232">
        <v>2046.7</v>
      </c>
      <c r="H754" s="232">
        <f>I754-G754</f>
        <v>109.49999999999977</v>
      </c>
      <c r="I754" s="232">
        <v>2156.2</v>
      </c>
      <c r="J754" s="233">
        <f t="shared" si="103"/>
        <v>374</v>
      </c>
      <c r="K754" s="19"/>
    </row>
  </sheetData>
  <mergeCells count="2">
    <mergeCell ref="L6:M6"/>
    <mergeCell ref="B4:J4"/>
  </mergeCells>
  <printOptions/>
  <pageMargins left="0.75" right="0.75" top="1" bottom="1" header="0.5" footer="0.5"/>
  <pageSetup horizontalDpi="300" verticalDpi="300" orientation="portrait" paperSize="9" r:id="rId2"/>
  <ignoredErrors>
    <ignoredError sqref="E33:H745 E8:H32 C7:D32 E7:H7" formula="1"/>
  </ignoredErrors>
  <drawing r:id="rId1"/>
</worksheet>
</file>

<file path=xl/worksheets/sheet2.xml><?xml version="1.0" encoding="utf-8"?>
<worksheet xmlns="http://schemas.openxmlformats.org/spreadsheetml/2006/main" xmlns:r="http://schemas.openxmlformats.org/officeDocument/2006/relationships">
  <dimension ref="B1:R83"/>
  <sheetViews>
    <sheetView workbookViewId="0" topLeftCell="A1">
      <selection activeCell="H5" sqref="H5"/>
    </sheetView>
  </sheetViews>
  <sheetFormatPr defaultColWidth="9.140625" defaultRowHeight="12.75"/>
  <cols>
    <col min="2" max="2" width="30.28125" style="0" customWidth="1"/>
    <col min="3" max="3" width="9.57421875" style="0" bestFit="1" customWidth="1"/>
    <col min="5" max="5" width="9.57421875" style="0" bestFit="1" customWidth="1"/>
  </cols>
  <sheetData>
    <row r="1" spans="7:12" ht="13.5" thickBot="1">
      <c r="G1" s="19"/>
      <c r="H1" s="19"/>
      <c r="I1" s="19"/>
      <c r="J1" s="19"/>
      <c r="K1" s="19"/>
      <c r="L1" s="19"/>
    </row>
    <row r="2" spans="2:12" ht="13.5" thickBot="1">
      <c r="B2" s="278" t="s">
        <v>20</v>
      </c>
      <c r="C2" s="279"/>
      <c r="D2" s="279"/>
      <c r="E2" s="279"/>
      <c r="F2" s="280"/>
      <c r="G2" s="33"/>
      <c r="H2" s="19"/>
      <c r="I2" s="19"/>
      <c r="J2" s="19"/>
      <c r="K2" s="19"/>
      <c r="L2" s="19"/>
    </row>
    <row r="3" spans="2:12" ht="12.75">
      <c r="B3" s="51"/>
      <c r="C3" s="49"/>
      <c r="D3" s="49"/>
      <c r="E3" s="49"/>
      <c r="F3" s="50"/>
      <c r="G3" s="33"/>
      <c r="H3" s="19"/>
      <c r="I3" s="19"/>
      <c r="J3" s="19"/>
      <c r="K3" s="19"/>
      <c r="L3" s="19"/>
    </row>
    <row r="4" spans="2:12" ht="12.75">
      <c r="B4" s="52" t="s">
        <v>50</v>
      </c>
      <c r="C4" s="23">
        <v>1</v>
      </c>
      <c r="D4" s="19"/>
      <c r="E4" s="19"/>
      <c r="F4" s="22"/>
      <c r="G4" s="19"/>
      <c r="H4" s="19"/>
      <c r="I4" s="19"/>
      <c r="J4" s="19"/>
      <c r="K4" s="19"/>
      <c r="L4" s="19"/>
    </row>
    <row r="5" spans="2:12" ht="12.75">
      <c r="B5" s="52" t="s">
        <v>51</v>
      </c>
      <c r="C5" s="23">
        <v>1</v>
      </c>
      <c r="D5" s="19"/>
      <c r="E5" s="19"/>
      <c r="F5" s="22"/>
      <c r="G5" s="19"/>
      <c r="H5" s="19"/>
      <c r="I5" s="19"/>
      <c r="J5" s="19"/>
      <c r="K5" s="19"/>
      <c r="L5" s="19"/>
    </row>
    <row r="6" spans="2:12" ht="12.75">
      <c r="B6" s="7"/>
      <c r="C6" s="3"/>
      <c r="D6" s="3"/>
      <c r="E6" s="3"/>
      <c r="F6" s="8"/>
      <c r="G6" s="19"/>
      <c r="H6" s="19"/>
      <c r="I6" s="19"/>
      <c r="J6" s="19"/>
      <c r="K6" s="19"/>
      <c r="L6" s="19"/>
    </row>
    <row r="7" spans="2:12" ht="12.75">
      <c r="B7" s="7" t="s">
        <v>17</v>
      </c>
      <c r="C7" s="21">
        <v>1</v>
      </c>
      <c r="D7" s="3" t="s">
        <v>7</v>
      </c>
      <c r="E7" s="10">
        <f>C7*100000</f>
        <v>100000</v>
      </c>
      <c r="F7" s="8" t="s">
        <v>6</v>
      </c>
      <c r="G7" s="19"/>
      <c r="H7" s="19"/>
      <c r="I7" s="19"/>
      <c r="J7" s="19"/>
      <c r="K7" s="19"/>
      <c r="L7" s="19"/>
    </row>
    <row r="8" spans="2:12" ht="12.75">
      <c r="B8" s="7" t="s">
        <v>18</v>
      </c>
      <c r="C8" s="21">
        <v>10</v>
      </c>
      <c r="D8" s="3" t="s">
        <v>7</v>
      </c>
      <c r="E8" s="10">
        <f>C8*100000</f>
        <v>1000000</v>
      </c>
      <c r="F8" s="8" t="s">
        <v>6</v>
      </c>
      <c r="G8" s="19"/>
      <c r="H8" s="19"/>
      <c r="I8" s="19"/>
      <c r="J8" s="19"/>
      <c r="K8" s="19"/>
      <c r="L8" s="19"/>
    </row>
    <row r="9" spans="2:12" ht="12.75">
      <c r="B9" s="7" t="s">
        <v>16</v>
      </c>
      <c r="C9" s="18">
        <f>E9/100000</f>
        <v>6.999999999999999</v>
      </c>
      <c r="D9" s="3" t="s">
        <v>7</v>
      </c>
      <c r="E9" s="10">
        <f>(E13*C21*C29)/C17</f>
        <v>699999.9999999999</v>
      </c>
      <c r="F9" s="8" t="s">
        <v>6</v>
      </c>
      <c r="G9" s="19"/>
      <c r="H9" s="19"/>
      <c r="I9" s="19"/>
      <c r="J9" s="19"/>
      <c r="K9" s="19"/>
      <c r="L9" s="19"/>
    </row>
    <row r="10" spans="2:12" ht="12.75">
      <c r="B10" s="7"/>
      <c r="C10" s="3"/>
      <c r="D10" s="3"/>
      <c r="E10" s="3"/>
      <c r="F10" s="8"/>
      <c r="G10" s="19"/>
      <c r="H10" s="19"/>
      <c r="I10" s="19"/>
      <c r="J10" s="19"/>
      <c r="K10" s="19"/>
      <c r="L10" s="19"/>
    </row>
    <row r="11" spans="2:12" ht="12.75">
      <c r="B11" s="7" t="s">
        <v>21</v>
      </c>
      <c r="C11" s="9">
        <v>100</v>
      </c>
      <c r="D11" s="3" t="s">
        <v>76</v>
      </c>
      <c r="E11" s="10">
        <f>C11+273</f>
        <v>373</v>
      </c>
      <c r="F11" s="8" t="s">
        <v>0</v>
      </c>
      <c r="G11" s="19"/>
      <c r="H11" s="19"/>
      <c r="I11" s="19"/>
      <c r="J11" s="19"/>
      <c r="K11" s="19"/>
      <c r="L11" s="19"/>
    </row>
    <row r="12" spans="2:12" ht="12.75">
      <c r="B12" s="7" t="s">
        <v>12</v>
      </c>
      <c r="C12" s="9">
        <v>200</v>
      </c>
      <c r="D12" s="3" t="s">
        <v>76</v>
      </c>
      <c r="E12" s="10">
        <f>C12+273</f>
        <v>473</v>
      </c>
      <c r="F12" s="8" t="s">
        <v>0</v>
      </c>
      <c r="G12" s="19"/>
      <c r="H12" s="19"/>
      <c r="I12" s="19"/>
      <c r="J12" s="19"/>
      <c r="K12" s="19"/>
      <c r="L12" s="19"/>
    </row>
    <row r="13" spans="2:15" ht="12.75">
      <c r="B13" s="7" t="s">
        <v>13</v>
      </c>
      <c r="C13" s="18">
        <f>((C11*C19)+(C12*C20))/C21</f>
        <v>194.03756460355476</v>
      </c>
      <c r="D13" s="3" t="s">
        <v>76</v>
      </c>
      <c r="E13" s="18">
        <f>C13+273</f>
        <v>467.03756460355476</v>
      </c>
      <c r="F13" s="8" t="s">
        <v>0</v>
      </c>
      <c r="G13" s="19"/>
      <c r="H13" s="19"/>
      <c r="I13" s="19"/>
      <c r="J13" s="19"/>
      <c r="K13" s="19"/>
      <c r="L13" s="34"/>
      <c r="M13" s="34"/>
      <c r="N13" s="34"/>
      <c r="O13" s="34"/>
    </row>
    <row r="14" spans="2:15" ht="12.75">
      <c r="B14" s="7"/>
      <c r="C14" s="3"/>
      <c r="D14" s="3"/>
      <c r="E14" s="3"/>
      <c r="F14" s="8"/>
      <c r="G14" s="19"/>
      <c r="H14" s="19"/>
      <c r="I14" s="19"/>
      <c r="J14" s="19"/>
      <c r="K14" s="19"/>
      <c r="L14" s="34"/>
      <c r="M14" s="34"/>
      <c r="N14" s="34"/>
      <c r="O14" s="34"/>
    </row>
    <row r="15" spans="2:15" ht="12.75">
      <c r="B15" s="7" t="s">
        <v>8</v>
      </c>
      <c r="C15" s="9">
        <v>1</v>
      </c>
      <c r="D15" s="3" t="s">
        <v>87</v>
      </c>
      <c r="E15" s="3"/>
      <c r="F15" s="8"/>
      <c r="G15" s="19"/>
      <c r="H15" s="19"/>
      <c r="I15" s="19"/>
      <c r="J15" s="19"/>
      <c r="K15" s="19"/>
      <c r="L15" s="34"/>
      <c r="M15" s="34"/>
      <c r="N15" s="34"/>
      <c r="O15" s="34"/>
    </row>
    <row r="16" spans="2:15" ht="12.75">
      <c r="B16" s="7" t="s">
        <v>9</v>
      </c>
      <c r="C16" s="9">
        <v>2</v>
      </c>
      <c r="D16" s="3" t="s">
        <v>87</v>
      </c>
      <c r="E16" s="3"/>
      <c r="F16" s="8"/>
      <c r="G16" s="19"/>
      <c r="H16" s="19"/>
      <c r="I16" s="19"/>
      <c r="J16" s="19"/>
      <c r="K16" s="19"/>
      <c r="L16" s="34"/>
      <c r="M16" s="34"/>
      <c r="N16" s="34"/>
      <c r="O16" s="34"/>
    </row>
    <row r="17" spans="2:15" ht="12.75">
      <c r="B17" s="7" t="s">
        <v>14</v>
      </c>
      <c r="C17" s="10">
        <f>C15+C16</f>
        <v>3</v>
      </c>
      <c r="D17" s="3" t="s">
        <v>87</v>
      </c>
      <c r="E17" s="3"/>
      <c r="F17" s="8"/>
      <c r="G17" s="19"/>
      <c r="H17" s="19"/>
      <c r="I17" s="19"/>
      <c r="J17" s="19"/>
      <c r="K17" s="42"/>
      <c r="L17" s="34"/>
      <c r="M17" s="34"/>
      <c r="N17" s="34"/>
      <c r="O17" s="34"/>
    </row>
    <row r="18" spans="2:15" ht="12.75">
      <c r="B18" s="7"/>
      <c r="C18" s="19"/>
      <c r="D18" s="3"/>
      <c r="E18" s="3"/>
      <c r="F18" s="8"/>
      <c r="G18" s="19"/>
      <c r="H18" s="19"/>
      <c r="I18" s="19"/>
      <c r="J18" s="19"/>
      <c r="K18" s="42"/>
      <c r="L18" s="34"/>
      <c r="M18" s="34"/>
      <c r="N18" s="34"/>
      <c r="O18" s="34"/>
    </row>
    <row r="19" spans="2:12" ht="12.75">
      <c r="B19" s="7" t="s">
        <v>10</v>
      </c>
      <c r="C19" s="54">
        <f>(E7*C15)/(C27*E11)</f>
        <v>0.9032214791936597</v>
      </c>
      <c r="D19" s="19" t="s">
        <v>2</v>
      </c>
      <c r="E19" s="3"/>
      <c r="F19" s="8"/>
      <c r="G19" s="19"/>
      <c r="H19" s="19"/>
      <c r="I19" s="19"/>
      <c r="J19" s="19"/>
      <c r="K19" s="19"/>
      <c r="L19" s="19"/>
    </row>
    <row r="20" spans="2:14" ht="12.75">
      <c r="B20" s="7" t="s">
        <v>11</v>
      </c>
      <c r="C20" s="54">
        <f>(E8*C16)/(C28*E12)</f>
        <v>14.24531127861459</v>
      </c>
      <c r="D20" s="19" t="s">
        <v>2</v>
      </c>
      <c r="E20" s="3"/>
      <c r="F20" s="8"/>
      <c r="G20" s="19"/>
      <c r="H20" s="19"/>
      <c r="I20" s="19"/>
      <c r="J20" s="19"/>
      <c r="K20" s="42"/>
      <c r="L20" s="19"/>
      <c r="N20" s="1"/>
    </row>
    <row r="21" spans="2:14" ht="12.75">
      <c r="B21" s="7" t="s">
        <v>15</v>
      </c>
      <c r="C21" s="54">
        <f>C19+C20</f>
        <v>15.14853275780825</v>
      </c>
      <c r="D21" s="3" t="s">
        <v>2</v>
      </c>
      <c r="E21" s="3"/>
      <c r="F21" s="8"/>
      <c r="G21" s="19"/>
      <c r="H21" s="39"/>
      <c r="I21" s="39"/>
      <c r="J21" s="39"/>
      <c r="K21" s="39"/>
      <c r="L21" s="19"/>
      <c r="N21" s="1"/>
    </row>
    <row r="22" spans="2:12" ht="12.75">
      <c r="B22" s="7"/>
      <c r="C22" s="3"/>
      <c r="D22" s="3"/>
      <c r="E22" s="3"/>
      <c r="F22" s="8"/>
      <c r="G22" s="19"/>
      <c r="H22" s="39"/>
      <c r="I22" s="39"/>
      <c r="J22" s="39"/>
      <c r="K22" s="39"/>
      <c r="L22" s="19"/>
    </row>
    <row r="23" spans="2:14" ht="12.75">
      <c r="B23" s="7" t="s">
        <v>57</v>
      </c>
      <c r="C23" s="10">
        <f>VLOOKUP(C4,'Tabelle termodinamiche'!L7:P21,4)</f>
        <v>743</v>
      </c>
      <c r="D23" s="3" t="s">
        <v>19</v>
      </c>
      <c r="E23" s="3"/>
      <c r="F23" s="8"/>
      <c r="G23" s="19"/>
      <c r="H23" s="53"/>
      <c r="I23" s="53"/>
      <c r="J23" s="53"/>
      <c r="K23" s="53"/>
      <c r="L23" s="19"/>
      <c r="N23" s="1"/>
    </row>
    <row r="24" spans="2:14" ht="12.75">
      <c r="B24" s="7" t="s">
        <v>58</v>
      </c>
      <c r="C24" s="10">
        <f>VLOOKUP(C5,'Tabelle termodinamiche'!L7:P21,4)</f>
        <v>743</v>
      </c>
      <c r="D24" s="3" t="s">
        <v>19</v>
      </c>
      <c r="E24" s="3"/>
      <c r="F24" s="8"/>
      <c r="G24" s="19"/>
      <c r="H24" s="19"/>
      <c r="I24" s="19"/>
      <c r="J24" s="19"/>
      <c r="K24" s="19"/>
      <c r="L24" s="39"/>
      <c r="N24" s="1"/>
    </row>
    <row r="25" spans="2:14" ht="12.75">
      <c r="B25" s="7" t="s">
        <v>59</v>
      </c>
      <c r="C25" s="10">
        <f>(C23*C19+C24*C20)/C21</f>
        <v>743.0000000000001</v>
      </c>
      <c r="D25" s="3" t="s">
        <v>19</v>
      </c>
      <c r="E25" s="3"/>
      <c r="F25" s="8"/>
      <c r="G25" s="19"/>
      <c r="H25" s="19"/>
      <c r="I25" s="19"/>
      <c r="J25" s="19"/>
      <c r="K25" s="19"/>
      <c r="L25" s="19"/>
      <c r="N25" s="1"/>
    </row>
    <row r="26" spans="2:15" ht="12.75">
      <c r="B26" s="7"/>
      <c r="C26" s="3"/>
      <c r="D26" s="3"/>
      <c r="E26" s="3"/>
      <c r="F26" s="8"/>
      <c r="G26" s="19"/>
      <c r="H26" s="19"/>
      <c r="I26" s="19"/>
      <c r="J26" s="19"/>
      <c r="K26" s="19"/>
      <c r="L26" s="19"/>
      <c r="M26" s="1"/>
      <c r="N26" s="24"/>
      <c r="O26" s="25"/>
    </row>
    <row r="27" spans="2:15" ht="12.75">
      <c r="B27" s="7" t="s">
        <v>53</v>
      </c>
      <c r="C27" s="18">
        <f>8314/(VLOOKUP(C4,'Tabelle termodinamiche'!L7:P21,3))</f>
        <v>296.8225633702249</v>
      </c>
      <c r="D27" s="3" t="s">
        <v>19</v>
      </c>
      <c r="E27" s="3"/>
      <c r="F27" s="8"/>
      <c r="G27" s="19"/>
      <c r="H27" s="19"/>
      <c r="I27" s="19"/>
      <c r="J27" s="19"/>
      <c r="K27" s="19"/>
      <c r="L27" s="19"/>
      <c r="M27" s="1"/>
      <c r="N27" s="24"/>
      <c r="O27" s="25"/>
    </row>
    <row r="28" spans="2:12" ht="12.75">
      <c r="B28" s="7" t="s">
        <v>54</v>
      </c>
      <c r="C28" s="18">
        <f>8314/(VLOOKUP(C5,'Tabelle termodinamiche'!L7:P21,3))</f>
        <v>296.8225633702249</v>
      </c>
      <c r="D28" s="3" t="s">
        <v>19</v>
      </c>
      <c r="E28" s="3"/>
      <c r="F28" s="8"/>
      <c r="G28" s="19"/>
      <c r="H28" s="19"/>
      <c r="I28" s="19"/>
      <c r="J28" s="19"/>
      <c r="K28" s="19"/>
      <c r="L28" s="19"/>
    </row>
    <row r="29" spans="2:18" ht="12.75">
      <c r="B29" s="7" t="s">
        <v>55</v>
      </c>
      <c r="C29" s="18">
        <f>((C19*C27)+(C20*C28))/C21</f>
        <v>296.8225633702248</v>
      </c>
      <c r="D29" s="3" t="s">
        <v>19</v>
      </c>
      <c r="E29" s="3"/>
      <c r="F29" s="8"/>
      <c r="G29" s="19"/>
      <c r="H29" s="19"/>
      <c r="I29" s="19"/>
      <c r="J29" s="19"/>
      <c r="K29" s="19"/>
      <c r="L29" s="19"/>
      <c r="M29" s="27"/>
      <c r="N29" s="35"/>
      <c r="O29" s="29"/>
      <c r="P29" s="35"/>
      <c r="Q29" s="35"/>
      <c r="R29" s="35"/>
    </row>
    <row r="30" spans="2:18" ht="12.75">
      <c r="B30" s="7"/>
      <c r="C30" s="41"/>
      <c r="D30" s="3"/>
      <c r="E30" s="3"/>
      <c r="F30" s="8"/>
      <c r="G30" s="19"/>
      <c r="H30" s="19"/>
      <c r="I30" s="19"/>
      <c r="J30" s="19"/>
      <c r="K30" s="19"/>
      <c r="L30" s="19"/>
      <c r="M30" s="31"/>
      <c r="N30" s="35"/>
      <c r="P30" s="35"/>
      <c r="Q30" s="35"/>
      <c r="R30" s="35"/>
    </row>
    <row r="31" spans="2:12" ht="12.75">
      <c r="B31" s="16" t="s">
        <v>56</v>
      </c>
      <c r="C31" s="54">
        <f>C17/C21</f>
        <v>0.1980389815940202</v>
      </c>
      <c r="D31" s="19" t="s">
        <v>270</v>
      </c>
      <c r="E31" s="3"/>
      <c r="F31" s="8"/>
      <c r="G31" s="19"/>
      <c r="H31" s="19"/>
      <c r="I31" s="19"/>
      <c r="J31" s="19"/>
      <c r="K31" s="19"/>
      <c r="L31" s="19"/>
    </row>
    <row r="32" spans="2:12" ht="12.75">
      <c r="B32" s="7"/>
      <c r="C32" s="3"/>
      <c r="D32" s="19"/>
      <c r="E32" s="3"/>
      <c r="F32" s="8"/>
      <c r="G32" s="19"/>
      <c r="H32" s="19"/>
      <c r="I32" s="19"/>
      <c r="J32" s="19"/>
      <c r="K32" s="19"/>
      <c r="L32" s="19"/>
    </row>
    <row r="33" spans="2:12" ht="12.75">
      <c r="B33" s="16" t="s">
        <v>60</v>
      </c>
      <c r="C33" s="54">
        <f>(VLOOKUP(C4,'Tabelle termodinamiche'!L7:P21,5))*LN(E11/273)</f>
        <v>324.2787828127512</v>
      </c>
      <c r="D33" s="3" t="s">
        <v>19</v>
      </c>
      <c r="E33" s="3"/>
      <c r="F33" s="8"/>
      <c r="G33" s="19"/>
      <c r="H33" s="19"/>
      <c r="I33" s="19"/>
      <c r="J33" s="19"/>
      <c r="K33" s="19"/>
      <c r="L33" s="19"/>
    </row>
    <row r="34" spans="2:18" ht="12.75">
      <c r="B34" s="16" t="s">
        <v>61</v>
      </c>
      <c r="C34" s="18">
        <f>((VLOOKUP(C5,'Tabelle termodinamiche'!L7:P21,5)*LN(E12/273))-(8314/(VLOOKUP(C5,'Tabelle termodinamiche'!L7:P21,3))*LN(C8)))</f>
        <v>-112.4002962346151</v>
      </c>
      <c r="D34" s="3" t="s">
        <v>19</v>
      </c>
      <c r="E34" s="3"/>
      <c r="F34" s="8"/>
      <c r="G34" s="19"/>
      <c r="H34" s="19"/>
      <c r="I34" s="19"/>
      <c r="J34" s="19"/>
      <c r="K34" s="19"/>
      <c r="L34" s="19"/>
      <c r="M34" s="27"/>
      <c r="N34" s="35"/>
      <c r="O34" s="29"/>
      <c r="P34" s="35"/>
      <c r="Q34" s="35"/>
      <c r="R34" s="35"/>
    </row>
    <row r="35" spans="2:18" ht="12.75">
      <c r="B35" s="16" t="s">
        <v>62</v>
      </c>
      <c r="C35" s="18">
        <f>C45*LN(E13/273)-(C44*LN(C9))</f>
        <v>-19.71156316100928</v>
      </c>
      <c r="D35" s="3" t="s">
        <v>19</v>
      </c>
      <c r="E35" s="3"/>
      <c r="F35" s="8"/>
      <c r="G35" s="19"/>
      <c r="H35" s="19"/>
      <c r="I35" s="19"/>
      <c r="J35" s="19"/>
      <c r="K35" s="19"/>
      <c r="L35" s="19"/>
      <c r="M35" s="27"/>
      <c r="N35" s="35"/>
      <c r="O35" s="29"/>
      <c r="P35" s="35"/>
      <c r="Q35" s="35"/>
      <c r="R35" s="35"/>
    </row>
    <row r="36" spans="2:18" ht="12.75">
      <c r="B36" s="16"/>
      <c r="C36" s="41"/>
      <c r="D36" s="19"/>
      <c r="E36" s="3"/>
      <c r="F36" s="8"/>
      <c r="G36" s="19"/>
      <c r="H36" s="19"/>
      <c r="I36" s="19"/>
      <c r="J36" s="19"/>
      <c r="K36" s="19"/>
      <c r="L36" s="19"/>
      <c r="M36" s="31"/>
      <c r="N36" s="35"/>
      <c r="P36" s="35"/>
      <c r="Q36" s="35"/>
      <c r="R36" s="35"/>
    </row>
    <row r="37" spans="2:18" ht="12.75">
      <c r="B37" s="16" t="s">
        <v>67</v>
      </c>
      <c r="C37" s="54">
        <f>C19*C33</f>
        <v>292.89556188325264</v>
      </c>
      <c r="D37" s="19" t="s">
        <v>63</v>
      </c>
      <c r="E37" s="3"/>
      <c r="F37" s="8"/>
      <c r="G37" s="19"/>
      <c r="H37" s="40"/>
      <c r="I37" s="19"/>
      <c r="J37" s="19"/>
      <c r="K37" s="19"/>
      <c r="L37" s="19"/>
      <c r="M37" s="31"/>
      <c r="N37" s="28"/>
      <c r="P37" s="28"/>
      <c r="Q37" s="28"/>
      <c r="R37" s="30"/>
    </row>
    <row r="38" spans="2:18" ht="12.75">
      <c r="B38" s="16" t="s">
        <v>68</v>
      </c>
      <c r="C38" s="18">
        <f>C34*C20</f>
        <v>-1601.1772076705836</v>
      </c>
      <c r="D38" s="19" t="s">
        <v>63</v>
      </c>
      <c r="E38" s="3"/>
      <c r="F38" s="8"/>
      <c r="G38" s="19"/>
      <c r="H38" s="19"/>
      <c r="I38" s="19"/>
      <c r="J38" s="19"/>
      <c r="K38" s="19"/>
      <c r="L38" s="19"/>
      <c r="M38" s="31"/>
      <c r="N38" s="28"/>
      <c r="P38" s="28"/>
      <c r="Q38" s="28"/>
      <c r="R38" s="30"/>
    </row>
    <row r="39" spans="2:18" ht="12.75">
      <c r="B39" s="16" t="s">
        <v>70</v>
      </c>
      <c r="C39" s="18">
        <f>C35*C21</f>
        <v>-298.6012602521554</v>
      </c>
      <c r="D39" s="19" t="s">
        <v>63</v>
      </c>
      <c r="E39" s="3"/>
      <c r="F39" s="8"/>
      <c r="G39" s="19"/>
      <c r="H39" s="19"/>
      <c r="I39" s="19"/>
      <c r="J39" s="19"/>
      <c r="K39" s="19"/>
      <c r="L39" s="19"/>
      <c r="M39" s="31"/>
      <c r="N39" s="28"/>
      <c r="P39" s="28"/>
      <c r="Q39" s="28"/>
      <c r="R39" s="30"/>
    </row>
    <row r="40" spans="2:12" ht="12.75">
      <c r="B40" s="16"/>
      <c r="C40" s="41"/>
      <c r="D40" s="19"/>
      <c r="E40" s="3"/>
      <c r="F40" s="8"/>
      <c r="G40" s="19"/>
      <c r="H40" s="19"/>
      <c r="I40" s="19"/>
      <c r="J40" s="19"/>
      <c r="K40" s="19"/>
      <c r="L40" s="19"/>
    </row>
    <row r="41" spans="2:12" ht="12.75">
      <c r="B41" s="16" t="s">
        <v>65</v>
      </c>
      <c r="C41" s="18">
        <f>C19*((VLOOKUP(C4,'Tabelle termodinamiche'!L7:P21,5)*LN(E11/273))-(8314/(VLOOKUP(C4,'Tabelle termodinamiche'!L7:P21,3))*LN(C7*C15/C17)))</f>
        <v>587.4296875315395</v>
      </c>
      <c r="D41" s="19" t="s">
        <v>63</v>
      </c>
      <c r="E41" s="3"/>
      <c r="F41" s="8"/>
      <c r="G41" s="19"/>
      <c r="H41" s="19"/>
      <c r="I41" s="19"/>
      <c r="J41" s="19"/>
      <c r="K41" s="40"/>
      <c r="L41" s="19"/>
    </row>
    <row r="42" spans="2:18" ht="12.75">
      <c r="B42" s="16" t="s">
        <v>66</v>
      </c>
      <c r="C42" s="18">
        <f>C20*((VLOOKUP(C5,'Tabelle termodinamiche'!L7:P21,5)*LN(E12/273))-(8314/(VLOOKUP(C5,'Tabelle termodinamiche'!L7:P21,3))*LN(C8*C16/C17)))</f>
        <v>113.26299574660287</v>
      </c>
      <c r="D42" s="19" t="s">
        <v>63</v>
      </c>
      <c r="E42" s="3"/>
      <c r="F42" s="8"/>
      <c r="G42" s="19"/>
      <c r="H42" s="19"/>
      <c r="I42" s="19"/>
      <c r="J42" s="19"/>
      <c r="K42" s="89"/>
      <c r="L42" s="19"/>
      <c r="M42" s="32"/>
      <c r="O42" s="35"/>
      <c r="P42" s="37"/>
      <c r="Q42" s="35"/>
      <c r="R42" s="35"/>
    </row>
    <row r="43" spans="2:18" ht="12.75">
      <c r="B43" s="16"/>
      <c r="C43" s="41"/>
      <c r="D43" s="19"/>
      <c r="E43" s="3"/>
      <c r="F43" s="8"/>
      <c r="G43" s="19"/>
      <c r="H43" s="19"/>
      <c r="I43" s="19"/>
      <c r="J43" s="19"/>
      <c r="K43" s="89"/>
      <c r="L43" s="19"/>
      <c r="M43" s="32"/>
      <c r="O43" s="35"/>
      <c r="P43" s="38"/>
      <c r="Q43" s="35"/>
      <c r="R43" s="35"/>
    </row>
    <row r="44" spans="2:12" ht="12.75">
      <c r="B44" s="16" t="s">
        <v>71</v>
      </c>
      <c r="C44" s="55">
        <f>E9*C17/(C21*E13)</f>
        <v>296.8225633702248</v>
      </c>
      <c r="D44" s="19" t="s">
        <v>19</v>
      </c>
      <c r="E44" s="3"/>
      <c r="F44" s="8"/>
      <c r="G44" s="19"/>
      <c r="H44" s="19"/>
      <c r="I44" s="19"/>
      <c r="J44" s="19"/>
      <c r="K44" s="90"/>
      <c r="L44" s="19"/>
    </row>
    <row r="45" spans="2:16" ht="12.75">
      <c r="B45" s="16" t="s">
        <v>69</v>
      </c>
      <c r="C45" s="55">
        <f>(C19*(VLOOKUP(C4,'Tabelle termodinamiche'!L7:P21,5))+C20*(VLOOKUP(C5,'Tabelle termodinamiche'!L7:P21,5)))/(C19+C20)</f>
        <v>1039</v>
      </c>
      <c r="D45" s="19" t="s">
        <v>19</v>
      </c>
      <c r="E45" s="3"/>
      <c r="F45" s="8"/>
      <c r="G45" s="19"/>
      <c r="H45" s="19"/>
      <c r="I45" s="19"/>
      <c r="J45" s="19"/>
      <c r="K45" s="89"/>
      <c r="L45" s="91"/>
      <c r="M45" s="35"/>
      <c r="N45" s="35"/>
      <c r="O45" s="35"/>
      <c r="P45" s="35"/>
    </row>
    <row r="46" spans="2:16" ht="12.75">
      <c r="B46" s="16" t="s">
        <v>64</v>
      </c>
      <c r="C46" s="54">
        <f>IF(C4=C5,C39-C38-C37,0)</f>
        <v>1009.6803855351757</v>
      </c>
      <c r="D46" s="19" t="s">
        <v>63</v>
      </c>
      <c r="E46" s="276" t="s">
        <v>72</v>
      </c>
      <c r="F46" s="277"/>
      <c r="G46" s="19"/>
      <c r="H46" s="19"/>
      <c r="I46" s="19"/>
      <c r="J46" s="19"/>
      <c r="K46" s="89"/>
      <c r="L46" s="19"/>
      <c r="M46" s="35"/>
      <c r="N46" s="35"/>
      <c r="O46" s="35"/>
      <c r="P46" s="35"/>
    </row>
    <row r="47" spans="2:15" ht="12.75">
      <c r="B47" s="16" t="s">
        <v>64</v>
      </c>
      <c r="C47" s="54">
        <f>IF(C4&lt;&gt;C5,C41+C42-C37-C38,0)</f>
        <v>0</v>
      </c>
      <c r="D47" s="19" t="s">
        <v>63</v>
      </c>
      <c r="E47" s="276" t="s">
        <v>73</v>
      </c>
      <c r="F47" s="277"/>
      <c r="M47" s="28"/>
      <c r="N47" s="26"/>
      <c r="O47" s="30"/>
    </row>
    <row r="48" spans="2:15" ht="13.5" thickBot="1">
      <c r="B48" s="11"/>
      <c r="C48" s="12"/>
      <c r="D48" s="12"/>
      <c r="E48" s="12"/>
      <c r="F48" s="13"/>
      <c r="K48" s="35"/>
      <c r="L48" s="29"/>
      <c r="M48" s="35"/>
      <c r="N48" s="35"/>
      <c r="O48" s="30"/>
    </row>
    <row r="49" spans="11:15" ht="12.75">
      <c r="K49" s="35"/>
      <c r="M49" s="35"/>
      <c r="N49" s="35"/>
      <c r="O49" s="30"/>
    </row>
    <row r="50" spans="2:7" ht="12.75">
      <c r="B50" s="19"/>
      <c r="C50" s="19"/>
      <c r="D50" s="19"/>
      <c r="E50" s="19"/>
      <c r="F50" s="19"/>
      <c r="G50" s="19"/>
    </row>
    <row r="51" spans="2:17" ht="12.75">
      <c r="B51" s="88"/>
      <c r="C51" s="19"/>
      <c r="D51" s="19"/>
      <c r="E51" s="19"/>
      <c r="F51" s="19"/>
      <c r="G51" s="19"/>
      <c r="L51" s="29"/>
      <c r="M51" s="35"/>
      <c r="N51" s="35"/>
      <c r="O51" s="35"/>
      <c r="P51" s="35"/>
      <c r="Q51" s="36"/>
    </row>
    <row r="52" spans="2:17" ht="12.75">
      <c r="B52" s="19"/>
      <c r="C52" s="19"/>
      <c r="D52" s="19"/>
      <c r="E52" s="19"/>
      <c r="F52" s="19"/>
      <c r="G52" s="19"/>
      <c r="L52" s="31"/>
      <c r="M52" s="35"/>
      <c r="N52" s="35"/>
      <c r="O52" s="35"/>
      <c r="P52" s="35"/>
      <c r="Q52" s="36"/>
    </row>
    <row r="53" spans="2:7" ht="12.75">
      <c r="B53" s="19"/>
      <c r="C53" s="19"/>
      <c r="D53" s="19"/>
      <c r="E53" s="19"/>
      <c r="F53" s="19"/>
      <c r="G53" s="19"/>
    </row>
    <row r="54" spans="2:7" ht="12.75">
      <c r="B54" s="19"/>
      <c r="C54" s="19"/>
      <c r="D54" s="19"/>
      <c r="E54" s="19"/>
      <c r="F54" s="19"/>
      <c r="G54" s="19"/>
    </row>
    <row r="55" spans="2:7" ht="12.75">
      <c r="B55" s="19"/>
      <c r="C55" s="19"/>
      <c r="D55" s="19"/>
      <c r="E55" s="19"/>
      <c r="F55" s="19"/>
      <c r="G55" s="19"/>
    </row>
    <row r="56" spans="2:7" ht="12.75">
      <c r="B56" s="19"/>
      <c r="C56" s="19"/>
      <c r="D56" s="19"/>
      <c r="E56" s="19"/>
      <c r="F56" s="19"/>
      <c r="G56" s="19"/>
    </row>
    <row r="57" spans="2:7" ht="12.75">
      <c r="B57" s="19"/>
      <c r="C57" s="19"/>
      <c r="D57" s="19"/>
      <c r="E57" s="19"/>
      <c r="F57" s="19"/>
      <c r="G57" s="19"/>
    </row>
    <row r="58" spans="2:7" ht="12.75">
      <c r="B58" s="19"/>
      <c r="C58" s="19"/>
      <c r="D58" s="19"/>
      <c r="E58" s="19"/>
      <c r="F58" s="19"/>
      <c r="G58" s="19"/>
    </row>
    <row r="59" spans="2:7" ht="12.75">
      <c r="B59" s="19"/>
      <c r="C59" s="19"/>
      <c r="D59" s="19"/>
      <c r="E59" s="19"/>
      <c r="F59" s="19"/>
      <c r="G59" s="19"/>
    </row>
    <row r="60" spans="2:7" ht="12.75">
      <c r="B60" s="19"/>
      <c r="C60" s="41"/>
      <c r="D60" s="19"/>
      <c r="E60" s="41"/>
      <c r="F60" s="19"/>
      <c r="G60" s="19"/>
    </row>
    <row r="61" spans="2:7" ht="12.75">
      <c r="B61" s="19"/>
      <c r="C61" s="19"/>
      <c r="D61" s="19"/>
      <c r="E61" s="19"/>
      <c r="F61" s="19"/>
      <c r="G61" s="19"/>
    </row>
    <row r="62" spans="2:7" ht="12.75">
      <c r="B62" s="19"/>
      <c r="C62" s="19"/>
      <c r="D62" s="19"/>
      <c r="E62" s="19"/>
      <c r="F62" s="19"/>
      <c r="G62" s="19"/>
    </row>
    <row r="63" spans="2:7" ht="12.75">
      <c r="B63" s="19"/>
      <c r="C63" s="19"/>
      <c r="D63" s="19"/>
      <c r="E63" s="19"/>
      <c r="F63" s="19"/>
      <c r="G63" s="19"/>
    </row>
    <row r="64" spans="2:7" ht="12.75">
      <c r="B64" s="19"/>
      <c r="C64" s="19"/>
      <c r="D64" s="19"/>
      <c r="E64" s="19"/>
      <c r="F64" s="19"/>
      <c r="G64" s="19"/>
    </row>
    <row r="65" spans="2:7" ht="12.75">
      <c r="B65" s="19"/>
      <c r="C65" s="19"/>
      <c r="D65" s="19"/>
      <c r="E65" s="19"/>
      <c r="F65" s="19"/>
      <c r="G65" s="19"/>
    </row>
    <row r="66" spans="2:7" ht="12.75">
      <c r="B66" s="19"/>
      <c r="C66" s="19"/>
      <c r="D66" s="19"/>
      <c r="E66" s="19"/>
      <c r="F66" s="19"/>
      <c r="G66" s="19"/>
    </row>
    <row r="67" spans="2:7" ht="12.75">
      <c r="B67" s="19"/>
      <c r="C67" s="19"/>
      <c r="D67" s="19"/>
      <c r="E67" s="19"/>
      <c r="F67" s="19"/>
      <c r="G67" s="19"/>
    </row>
    <row r="68" spans="2:7" ht="12.75">
      <c r="B68" s="19"/>
      <c r="C68" s="19"/>
      <c r="D68" s="19"/>
      <c r="E68" s="19"/>
      <c r="F68" s="19"/>
      <c r="G68" s="19"/>
    </row>
    <row r="69" spans="2:7" ht="12.75">
      <c r="B69" s="19"/>
      <c r="C69" s="19"/>
      <c r="D69" s="19"/>
      <c r="E69" s="19"/>
      <c r="F69" s="19"/>
      <c r="G69" s="19"/>
    </row>
    <row r="70" spans="2:7" ht="12.75">
      <c r="B70" s="19"/>
      <c r="C70" s="19"/>
      <c r="D70" s="19"/>
      <c r="E70" s="19"/>
      <c r="F70" s="19"/>
      <c r="G70" s="19"/>
    </row>
    <row r="71" spans="2:7" ht="12.75">
      <c r="B71" s="19"/>
      <c r="C71" s="19"/>
      <c r="D71" s="19"/>
      <c r="E71" s="19"/>
      <c r="F71" s="19"/>
      <c r="G71" s="19"/>
    </row>
    <row r="72" spans="2:7" ht="12.75">
      <c r="B72" s="19"/>
      <c r="C72" s="41"/>
      <c r="D72" s="19"/>
      <c r="E72" s="19"/>
      <c r="F72" s="19"/>
      <c r="G72" s="19"/>
    </row>
    <row r="73" spans="2:7" ht="12.75">
      <c r="B73" s="19"/>
      <c r="C73" s="41"/>
      <c r="D73" s="19"/>
      <c r="E73" s="19"/>
      <c r="F73" s="19"/>
      <c r="G73" s="19"/>
    </row>
    <row r="74" spans="2:7" ht="12.75">
      <c r="B74" s="19"/>
      <c r="C74" s="41"/>
      <c r="D74" s="19"/>
      <c r="E74" s="19"/>
      <c r="F74" s="19"/>
      <c r="G74" s="19"/>
    </row>
    <row r="75" spans="2:7" ht="12.75">
      <c r="B75" s="19"/>
      <c r="C75" s="19"/>
      <c r="D75" s="19"/>
      <c r="E75" s="19"/>
      <c r="F75" s="19"/>
      <c r="G75" s="19"/>
    </row>
    <row r="76" spans="2:7" ht="12.75">
      <c r="B76" s="19"/>
      <c r="C76" s="19"/>
      <c r="D76" s="19"/>
      <c r="E76" s="19"/>
      <c r="F76" s="19"/>
      <c r="G76" s="19"/>
    </row>
    <row r="77" spans="2:7" ht="12.75">
      <c r="B77" s="19"/>
      <c r="C77" s="41"/>
      <c r="D77" s="19"/>
      <c r="E77" s="19"/>
      <c r="F77" s="19"/>
      <c r="G77" s="19"/>
    </row>
    <row r="78" spans="2:7" ht="12.75">
      <c r="B78" s="19"/>
      <c r="C78" s="41"/>
      <c r="D78" s="19"/>
      <c r="E78" s="19"/>
      <c r="F78" s="19"/>
      <c r="G78" s="19"/>
    </row>
    <row r="79" spans="2:7" ht="12.75">
      <c r="B79" s="19"/>
      <c r="C79" s="41"/>
      <c r="D79" s="19"/>
      <c r="E79" s="19"/>
      <c r="F79" s="19"/>
      <c r="G79" s="19"/>
    </row>
    <row r="80" spans="2:7" ht="12.75">
      <c r="B80" s="19"/>
      <c r="C80" s="19"/>
      <c r="D80" s="19"/>
      <c r="E80" s="19"/>
      <c r="F80" s="19"/>
      <c r="G80" s="19"/>
    </row>
    <row r="81" spans="2:7" ht="12.75">
      <c r="B81" s="19"/>
      <c r="C81" s="19"/>
      <c r="D81" s="19"/>
      <c r="E81" s="19"/>
      <c r="F81" s="19"/>
      <c r="G81" s="19"/>
    </row>
    <row r="82" spans="2:7" ht="12.75">
      <c r="B82" s="19"/>
      <c r="C82" s="19"/>
      <c r="D82" s="19"/>
      <c r="E82" s="19"/>
      <c r="F82" s="19"/>
      <c r="G82" s="19"/>
    </row>
    <row r="83" spans="2:7" ht="12.75">
      <c r="B83" s="19"/>
      <c r="C83" s="19"/>
      <c r="D83" s="19"/>
      <c r="E83" s="19"/>
      <c r="F83" s="19"/>
      <c r="G83" s="19"/>
    </row>
  </sheetData>
  <mergeCells count="3">
    <mergeCell ref="E46:F46"/>
    <mergeCell ref="E47:F47"/>
    <mergeCell ref="B2:F2"/>
  </mergeCell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C5:I23"/>
  <sheetViews>
    <sheetView workbookViewId="0" topLeftCell="A1">
      <selection activeCell="D30" sqref="D30"/>
    </sheetView>
  </sheetViews>
  <sheetFormatPr defaultColWidth="9.140625" defaultRowHeight="12.75"/>
  <sheetData>
    <row r="4" ht="13.5" thickBot="1"/>
    <row r="5" spans="3:9" ht="12.75">
      <c r="C5" s="281" t="s">
        <v>410</v>
      </c>
      <c r="D5" s="282"/>
      <c r="E5" s="282"/>
      <c r="F5" s="282"/>
      <c r="G5" s="282"/>
      <c r="H5" s="282"/>
      <c r="I5" s="283"/>
    </row>
    <row r="6" spans="3:9" ht="12.75">
      <c r="C6" s="284"/>
      <c r="D6" s="285"/>
      <c r="E6" s="285"/>
      <c r="F6" s="285"/>
      <c r="G6" s="285"/>
      <c r="H6" s="285"/>
      <c r="I6" s="286"/>
    </row>
    <row r="7" spans="3:9" ht="12.75">
      <c r="C7" s="284"/>
      <c r="D7" s="285"/>
      <c r="E7" s="285"/>
      <c r="F7" s="285"/>
      <c r="G7" s="285"/>
      <c r="H7" s="285"/>
      <c r="I7" s="286"/>
    </row>
    <row r="8" spans="3:9" ht="12.75">
      <c r="C8" s="284"/>
      <c r="D8" s="285"/>
      <c r="E8" s="285"/>
      <c r="F8" s="285"/>
      <c r="G8" s="285"/>
      <c r="H8" s="285"/>
      <c r="I8" s="286"/>
    </row>
    <row r="9" spans="3:9" ht="13.5" thickBot="1">
      <c r="C9" s="287"/>
      <c r="D9" s="288"/>
      <c r="E9" s="288"/>
      <c r="F9" s="288"/>
      <c r="G9" s="288"/>
      <c r="H9" s="288"/>
      <c r="I9" s="289"/>
    </row>
    <row r="10" spans="3:9" ht="12.75">
      <c r="C10" s="4"/>
      <c r="D10" s="5"/>
      <c r="E10" s="5"/>
      <c r="F10" s="5"/>
      <c r="G10" s="5"/>
      <c r="H10" s="5"/>
      <c r="I10" s="6"/>
    </row>
    <row r="11" spans="3:9" ht="12.75">
      <c r="C11" s="7"/>
      <c r="D11" s="290" t="s">
        <v>411</v>
      </c>
      <c r="E11" s="290"/>
      <c r="F11" s="290"/>
      <c r="G11" s="163">
        <v>10</v>
      </c>
      <c r="H11" s="2" t="s">
        <v>341</v>
      </c>
      <c r="I11" s="8"/>
    </row>
    <row r="12" spans="3:9" ht="12.75">
      <c r="C12" s="7"/>
      <c r="D12" s="290" t="s">
        <v>412</v>
      </c>
      <c r="E12" s="290"/>
      <c r="F12" s="290"/>
      <c r="G12" s="163">
        <v>0.25</v>
      </c>
      <c r="H12" s="2" t="s">
        <v>375</v>
      </c>
      <c r="I12" s="8"/>
    </row>
    <row r="13" spans="3:9" ht="12.75">
      <c r="C13" s="7"/>
      <c r="D13" s="290" t="s">
        <v>413</v>
      </c>
      <c r="E13" s="290"/>
      <c r="F13" s="290"/>
      <c r="G13" s="163">
        <v>20</v>
      </c>
      <c r="H13" s="2" t="s">
        <v>76</v>
      </c>
      <c r="I13" s="8"/>
    </row>
    <row r="14" spans="3:9" ht="12.75">
      <c r="C14" s="7"/>
      <c r="D14" s="290" t="s">
        <v>414</v>
      </c>
      <c r="E14" s="290"/>
      <c r="F14" s="290"/>
      <c r="G14" s="163">
        <v>0</v>
      </c>
      <c r="H14" s="2" t="s">
        <v>76</v>
      </c>
      <c r="I14" s="8"/>
    </row>
    <row r="15" spans="3:9" ht="12.75">
      <c r="C15" s="7"/>
      <c r="D15" s="290" t="s">
        <v>415</v>
      </c>
      <c r="E15" s="290"/>
      <c r="F15" s="290"/>
      <c r="G15" s="163">
        <v>1</v>
      </c>
      <c r="H15" s="2" t="s">
        <v>418</v>
      </c>
      <c r="I15" s="8"/>
    </row>
    <row r="16" spans="3:9" ht="12.75">
      <c r="C16" s="7"/>
      <c r="D16" s="290" t="s">
        <v>416</v>
      </c>
      <c r="E16" s="290"/>
      <c r="F16" s="290"/>
      <c r="G16" s="163">
        <v>8</v>
      </c>
      <c r="H16" s="2" t="s">
        <v>419</v>
      </c>
      <c r="I16" s="8"/>
    </row>
    <row r="17" spans="3:9" ht="12.75">
      <c r="C17" s="7"/>
      <c r="D17" s="290" t="s">
        <v>417</v>
      </c>
      <c r="E17" s="290"/>
      <c r="F17" s="290"/>
      <c r="G17" s="163">
        <v>20</v>
      </c>
      <c r="H17" s="2" t="s">
        <v>419</v>
      </c>
      <c r="I17" s="8"/>
    </row>
    <row r="18" spans="3:9" ht="12.75">
      <c r="C18" s="7"/>
      <c r="D18" s="290" t="s">
        <v>421</v>
      </c>
      <c r="E18" s="290"/>
      <c r="F18" s="290"/>
      <c r="G18" s="165">
        <f>1/G16</f>
        <v>0.125</v>
      </c>
      <c r="H18" s="2" t="s">
        <v>424</v>
      </c>
      <c r="I18" s="8"/>
    </row>
    <row r="19" spans="3:9" ht="12.75">
      <c r="C19" s="7"/>
      <c r="D19" s="290" t="s">
        <v>422</v>
      </c>
      <c r="E19" s="290"/>
      <c r="F19" s="290"/>
      <c r="G19" s="165">
        <f>G12/G15</f>
        <v>0.25</v>
      </c>
      <c r="H19" s="2" t="s">
        <v>424</v>
      </c>
      <c r="I19" s="8"/>
    </row>
    <row r="20" spans="3:9" ht="12.75">
      <c r="C20" s="7"/>
      <c r="D20" s="290" t="s">
        <v>423</v>
      </c>
      <c r="E20" s="290"/>
      <c r="F20" s="290"/>
      <c r="G20" s="165">
        <f>1/G17</f>
        <v>0.05</v>
      </c>
      <c r="H20" s="2" t="s">
        <v>424</v>
      </c>
      <c r="I20" s="8"/>
    </row>
    <row r="21" spans="3:9" ht="12.75">
      <c r="C21" s="7"/>
      <c r="D21" s="290" t="s">
        <v>420</v>
      </c>
      <c r="E21" s="290"/>
      <c r="F21" s="290"/>
      <c r="G21" s="253">
        <f>(G13-G14)/(G18+G19+G20)</f>
        <v>47.05882352941177</v>
      </c>
      <c r="H21" s="2" t="s">
        <v>425</v>
      </c>
      <c r="I21" s="8"/>
    </row>
    <row r="22" spans="3:9" ht="12.75">
      <c r="C22" s="7"/>
      <c r="D22" s="290" t="s">
        <v>426</v>
      </c>
      <c r="E22" s="290"/>
      <c r="F22" s="290"/>
      <c r="G22" s="182">
        <f>G21*G11</f>
        <v>470.5882352941177</v>
      </c>
      <c r="H22" s="2" t="s">
        <v>75</v>
      </c>
      <c r="I22" s="8"/>
    </row>
    <row r="23" spans="3:9" ht="13.5" thickBot="1">
      <c r="C23" s="11"/>
      <c r="D23" s="254"/>
      <c r="E23" s="254"/>
      <c r="F23" s="254"/>
      <c r="G23" s="12"/>
      <c r="H23" s="12"/>
      <c r="I23" s="13"/>
    </row>
  </sheetData>
  <mergeCells count="13">
    <mergeCell ref="D18:F18"/>
    <mergeCell ref="D22:F22"/>
    <mergeCell ref="D19:F19"/>
    <mergeCell ref="D20:F20"/>
    <mergeCell ref="D21:F21"/>
    <mergeCell ref="D14:F14"/>
    <mergeCell ref="D15:F15"/>
    <mergeCell ref="D16:F16"/>
    <mergeCell ref="D17:F17"/>
    <mergeCell ref="C5:I9"/>
    <mergeCell ref="D11:F11"/>
    <mergeCell ref="D12:F12"/>
    <mergeCell ref="D13:F13"/>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B5:R45"/>
  <sheetViews>
    <sheetView workbookViewId="0" topLeftCell="A1">
      <selection activeCell="G19" sqref="G19"/>
    </sheetView>
  </sheetViews>
  <sheetFormatPr defaultColWidth="9.140625" defaultRowHeight="12.75"/>
  <cols>
    <col min="13" max="13" width="10.00390625" style="0" bestFit="1" customWidth="1"/>
    <col min="14" max="14" width="12.28125" style="0" customWidth="1"/>
  </cols>
  <sheetData>
    <row r="4" ht="13.5" thickBot="1"/>
    <row r="5" spans="2:18" ht="12.75" customHeight="1">
      <c r="B5" s="291" t="s">
        <v>481</v>
      </c>
      <c r="C5" s="292"/>
      <c r="D5" s="292"/>
      <c r="E5" s="292"/>
      <c r="F5" s="293"/>
      <c r="H5" s="291" t="s">
        <v>427</v>
      </c>
      <c r="I5" s="292"/>
      <c r="J5" s="292"/>
      <c r="K5" s="292"/>
      <c r="L5" s="292"/>
      <c r="M5" s="292"/>
      <c r="N5" s="292"/>
      <c r="O5" s="292"/>
      <c r="P5" s="292"/>
      <c r="Q5" s="292"/>
      <c r="R5" s="293"/>
    </row>
    <row r="6" spans="2:18" ht="12.75">
      <c r="B6" s="294"/>
      <c r="C6" s="295"/>
      <c r="D6" s="295"/>
      <c r="E6" s="295"/>
      <c r="F6" s="273"/>
      <c r="H6" s="294"/>
      <c r="I6" s="295"/>
      <c r="J6" s="295"/>
      <c r="K6" s="295"/>
      <c r="L6" s="295"/>
      <c r="M6" s="295"/>
      <c r="N6" s="295"/>
      <c r="O6" s="295"/>
      <c r="P6" s="295"/>
      <c r="Q6" s="295"/>
      <c r="R6" s="273"/>
    </row>
    <row r="7" spans="2:18" ht="12.75">
      <c r="B7" s="294"/>
      <c r="C7" s="295"/>
      <c r="D7" s="295"/>
      <c r="E7" s="295"/>
      <c r="F7" s="273"/>
      <c r="H7" s="294"/>
      <c r="I7" s="295"/>
      <c r="J7" s="295"/>
      <c r="K7" s="295"/>
      <c r="L7" s="295"/>
      <c r="M7" s="295"/>
      <c r="N7" s="295"/>
      <c r="O7" s="295"/>
      <c r="P7" s="295"/>
      <c r="Q7" s="295"/>
      <c r="R7" s="273"/>
    </row>
    <row r="8" spans="2:18" ht="13.5" thickBot="1">
      <c r="B8" s="294"/>
      <c r="C8" s="295"/>
      <c r="D8" s="295"/>
      <c r="E8" s="295"/>
      <c r="F8" s="273"/>
      <c r="H8" s="269"/>
      <c r="I8" s="270"/>
      <c r="J8" s="270"/>
      <c r="K8" s="270"/>
      <c r="L8" s="270"/>
      <c r="M8" s="270"/>
      <c r="N8" s="270"/>
      <c r="O8" s="270"/>
      <c r="P8" s="270"/>
      <c r="Q8" s="270"/>
      <c r="R8" s="271"/>
    </row>
    <row r="9" spans="2:18" ht="12.75">
      <c r="B9" s="294"/>
      <c r="C9" s="295"/>
      <c r="D9" s="295"/>
      <c r="E9" s="295"/>
      <c r="F9" s="273"/>
      <c r="H9" s="258"/>
      <c r="I9" s="259"/>
      <c r="J9" s="259"/>
      <c r="K9" s="259"/>
      <c r="L9" s="259"/>
      <c r="M9" s="259"/>
      <c r="N9" s="259"/>
      <c r="O9" s="259"/>
      <c r="P9" s="259"/>
      <c r="Q9" s="259"/>
      <c r="R9" s="6"/>
    </row>
    <row r="10" spans="2:18" ht="13.5" customHeight="1" thickBot="1">
      <c r="B10" s="269"/>
      <c r="C10" s="270"/>
      <c r="D10" s="270"/>
      <c r="E10" s="270"/>
      <c r="F10" s="271"/>
      <c r="H10" s="256"/>
      <c r="I10" s="255"/>
      <c r="J10" s="255"/>
      <c r="K10" s="255"/>
      <c r="L10" s="272" t="s">
        <v>446</v>
      </c>
      <c r="M10" s="272"/>
      <c r="N10" s="272"/>
      <c r="O10" s="163">
        <v>5</v>
      </c>
      <c r="P10" s="180" t="s">
        <v>166</v>
      </c>
      <c r="Q10" s="257">
        <f>O10/100</f>
        <v>0.05</v>
      </c>
      <c r="R10" s="81" t="s">
        <v>375</v>
      </c>
    </row>
    <row r="11" spans="2:18" ht="12.75">
      <c r="B11" s="4"/>
      <c r="C11" s="5"/>
      <c r="D11" s="5"/>
      <c r="E11" s="5"/>
      <c r="F11" s="6"/>
      <c r="H11" s="256"/>
      <c r="I11" s="255"/>
      <c r="J11" s="255"/>
      <c r="K11" s="255"/>
      <c r="L11" s="272" t="s">
        <v>447</v>
      </c>
      <c r="M11" s="272"/>
      <c r="N11" s="272"/>
      <c r="O11" s="163">
        <v>10</v>
      </c>
      <c r="P11" s="180" t="s">
        <v>166</v>
      </c>
      <c r="Q11" s="257">
        <f>O11/100</f>
        <v>0.1</v>
      </c>
      <c r="R11" s="81" t="s">
        <v>375</v>
      </c>
    </row>
    <row r="12" spans="2:18" ht="12.75">
      <c r="B12" s="7"/>
      <c r="C12" s="2" t="s">
        <v>346</v>
      </c>
      <c r="D12" s="163">
        <v>1056</v>
      </c>
      <c r="E12" s="2" t="s">
        <v>75</v>
      </c>
      <c r="F12" s="8"/>
      <c r="H12" s="7"/>
      <c r="I12" s="3"/>
      <c r="J12" s="3"/>
      <c r="K12" s="3"/>
      <c r="L12" s="290" t="s">
        <v>428</v>
      </c>
      <c r="M12" s="290"/>
      <c r="N12" s="290"/>
      <c r="O12" s="163">
        <v>60</v>
      </c>
      <c r="P12" s="2" t="s">
        <v>418</v>
      </c>
      <c r="Q12" s="3"/>
      <c r="R12" s="8"/>
    </row>
    <row r="13" spans="2:18" ht="12.75">
      <c r="B13" s="7"/>
      <c r="C13" s="2" t="s">
        <v>347</v>
      </c>
      <c r="D13" s="163">
        <v>13</v>
      </c>
      <c r="E13" s="2" t="s">
        <v>7</v>
      </c>
      <c r="F13" s="8"/>
      <c r="H13" s="7"/>
      <c r="I13" s="3"/>
      <c r="J13" s="3"/>
      <c r="K13" s="3"/>
      <c r="L13" s="290" t="s">
        <v>429</v>
      </c>
      <c r="M13" s="290"/>
      <c r="N13" s="290"/>
      <c r="O13" s="163">
        <v>1</v>
      </c>
      <c r="P13" s="2" t="s">
        <v>418</v>
      </c>
      <c r="Q13" s="3"/>
      <c r="R13" s="8"/>
    </row>
    <row r="14" spans="2:18" ht="12.75">
      <c r="B14" s="7"/>
      <c r="C14" s="2" t="s">
        <v>348</v>
      </c>
      <c r="D14" s="165">
        <f>VLOOKUP(D13,'Tabelle termodinamiche'!C7:J755,8)</f>
        <v>191.5</v>
      </c>
      <c r="E14" s="2" t="s">
        <v>76</v>
      </c>
      <c r="F14" s="8"/>
      <c r="H14" s="7"/>
      <c r="I14" s="3"/>
      <c r="J14" s="3"/>
      <c r="K14" s="3"/>
      <c r="L14" s="290" t="s">
        <v>430</v>
      </c>
      <c r="M14" s="290"/>
      <c r="N14" s="290"/>
      <c r="O14" s="163">
        <v>0.1</v>
      </c>
      <c r="P14" s="2" t="s">
        <v>418</v>
      </c>
      <c r="Q14" s="3"/>
      <c r="R14" s="8"/>
    </row>
    <row r="15" spans="2:18" ht="12.75">
      <c r="B15" s="7"/>
      <c r="C15" s="2" t="s">
        <v>349</v>
      </c>
      <c r="D15" s="218">
        <f>VLOOKUP(D13,'Tabelle termodinamiche'!C7:J755,6)</f>
        <v>1971.1300000000003</v>
      </c>
      <c r="E15" s="2" t="s">
        <v>350</v>
      </c>
      <c r="F15" s="8"/>
      <c r="H15" s="7"/>
      <c r="I15" s="3"/>
      <c r="J15" s="3"/>
      <c r="K15" s="3"/>
      <c r="L15" s="272" t="s">
        <v>431</v>
      </c>
      <c r="M15" s="272"/>
      <c r="N15" s="272"/>
      <c r="O15" s="163">
        <v>100</v>
      </c>
      <c r="P15" s="180" t="s">
        <v>76</v>
      </c>
      <c r="Q15" s="3"/>
      <c r="R15" s="8"/>
    </row>
    <row r="16" spans="2:18" ht="12.75">
      <c r="B16" s="7"/>
      <c r="C16" s="2" t="s">
        <v>351</v>
      </c>
      <c r="D16" s="197">
        <f>D12/D15</f>
        <v>0.5357333103346811</v>
      </c>
      <c r="E16" s="2" t="s">
        <v>352</v>
      </c>
      <c r="F16" s="8"/>
      <c r="H16" s="7"/>
      <c r="I16" s="3"/>
      <c r="J16" s="3"/>
      <c r="K16" s="3"/>
      <c r="L16" s="272" t="s">
        <v>432</v>
      </c>
      <c r="M16" s="272"/>
      <c r="N16" s="272"/>
      <c r="O16" s="163">
        <v>0</v>
      </c>
      <c r="P16" s="2" t="s">
        <v>76</v>
      </c>
      <c r="Q16" s="3"/>
      <c r="R16" s="8"/>
    </row>
    <row r="17" spans="2:18" ht="13.5" thickBot="1">
      <c r="B17" s="11"/>
      <c r="C17" s="12"/>
      <c r="D17" s="12"/>
      <c r="E17" s="12"/>
      <c r="F17" s="13"/>
      <c r="H17" s="7"/>
      <c r="I17" s="3"/>
      <c r="J17" s="3"/>
      <c r="K17" s="3"/>
      <c r="L17" s="290" t="s">
        <v>434</v>
      </c>
      <c r="M17" s="290"/>
      <c r="N17" s="290"/>
      <c r="O17" s="163">
        <v>200</v>
      </c>
      <c r="P17" s="2" t="s">
        <v>419</v>
      </c>
      <c r="Q17" s="3"/>
      <c r="R17" s="8"/>
    </row>
    <row r="18" spans="8:18" ht="12.75">
      <c r="H18" s="7"/>
      <c r="I18" s="3"/>
      <c r="J18" s="3"/>
      <c r="K18" s="3"/>
      <c r="L18" s="290" t="s">
        <v>433</v>
      </c>
      <c r="M18" s="290"/>
      <c r="N18" s="290"/>
      <c r="O18" s="163">
        <v>10</v>
      </c>
      <c r="P18" s="2" t="s">
        <v>419</v>
      </c>
      <c r="Q18" s="3"/>
      <c r="R18" s="8"/>
    </row>
    <row r="19" spans="8:18" ht="12.75">
      <c r="H19" s="7"/>
      <c r="I19" s="3"/>
      <c r="J19" s="3"/>
      <c r="K19" s="3"/>
      <c r="L19" s="290" t="s">
        <v>439</v>
      </c>
      <c r="M19" s="290"/>
      <c r="N19" s="290"/>
      <c r="O19" s="163">
        <v>1</v>
      </c>
      <c r="P19" s="2" t="s">
        <v>341</v>
      </c>
      <c r="Q19" s="3"/>
      <c r="R19" s="8"/>
    </row>
    <row r="20" spans="8:18" ht="12.75">
      <c r="H20" s="7"/>
      <c r="I20" s="3"/>
      <c r="J20" s="3"/>
      <c r="K20" s="3"/>
      <c r="L20" s="290" t="s">
        <v>445</v>
      </c>
      <c r="M20" s="290"/>
      <c r="N20" s="290"/>
      <c r="O20" s="163">
        <v>2</v>
      </c>
      <c r="P20" s="2" t="s">
        <v>341</v>
      </c>
      <c r="Q20" s="3"/>
      <c r="R20" s="8"/>
    </row>
    <row r="21" spans="8:18" ht="12.75">
      <c r="H21" s="7"/>
      <c r="I21" s="3"/>
      <c r="J21" s="3"/>
      <c r="K21" s="3"/>
      <c r="L21" s="3"/>
      <c r="M21" s="3"/>
      <c r="N21" s="3"/>
      <c r="O21" s="3"/>
      <c r="P21" s="3"/>
      <c r="Q21" s="3"/>
      <c r="R21" s="8"/>
    </row>
    <row r="22" spans="8:18" ht="12.75">
      <c r="H22" s="7"/>
      <c r="I22" s="3"/>
      <c r="J22" s="3"/>
      <c r="K22" s="3"/>
      <c r="L22" s="3"/>
      <c r="M22" s="3"/>
      <c r="N22" s="3"/>
      <c r="O22" s="3"/>
      <c r="P22" s="3"/>
      <c r="Q22" s="3"/>
      <c r="R22" s="8"/>
    </row>
    <row r="23" spans="8:18" ht="12.75">
      <c r="H23" s="7"/>
      <c r="I23" s="3"/>
      <c r="J23" s="3"/>
      <c r="K23" s="3"/>
      <c r="L23" s="3"/>
      <c r="M23" s="3"/>
      <c r="N23" s="3"/>
      <c r="O23" s="3"/>
      <c r="P23" s="3"/>
      <c r="Q23" s="3"/>
      <c r="R23" s="8"/>
    </row>
    <row r="24" spans="8:18" ht="12.75">
      <c r="H24" s="7"/>
      <c r="I24" s="3"/>
      <c r="J24" s="3"/>
      <c r="K24" s="3"/>
      <c r="L24" s="3"/>
      <c r="M24" s="3"/>
      <c r="N24" s="3"/>
      <c r="O24" s="3"/>
      <c r="P24" s="3"/>
      <c r="Q24" s="3"/>
      <c r="R24" s="8"/>
    </row>
    <row r="25" spans="8:18" ht="12.75">
      <c r="H25" s="7"/>
      <c r="I25" s="3"/>
      <c r="J25" s="3"/>
      <c r="K25" s="3"/>
      <c r="L25" s="3"/>
      <c r="M25" s="3"/>
      <c r="N25" s="3"/>
      <c r="O25" s="3"/>
      <c r="P25" s="3"/>
      <c r="Q25" s="3"/>
      <c r="R25" s="8"/>
    </row>
    <row r="26" spans="8:18" ht="12.75">
      <c r="H26" s="7"/>
      <c r="I26" s="3"/>
      <c r="J26" s="3"/>
      <c r="K26" s="3"/>
      <c r="L26" s="3"/>
      <c r="M26" s="3"/>
      <c r="N26" s="3"/>
      <c r="O26" s="3"/>
      <c r="P26" s="3"/>
      <c r="Q26" s="3"/>
      <c r="R26" s="8"/>
    </row>
    <row r="27" spans="8:18" ht="12.75">
      <c r="H27" s="7"/>
      <c r="I27" s="3"/>
      <c r="J27" s="3"/>
      <c r="K27" s="3"/>
      <c r="L27" s="3"/>
      <c r="M27" s="3"/>
      <c r="N27" s="3"/>
      <c r="O27" s="3"/>
      <c r="P27" s="3"/>
      <c r="Q27" s="3"/>
      <c r="R27" s="8"/>
    </row>
    <row r="28" spans="8:18" ht="13.5" thickBot="1">
      <c r="H28" s="11"/>
      <c r="I28" s="12"/>
      <c r="J28" s="12"/>
      <c r="K28" s="12"/>
      <c r="L28" s="12"/>
      <c r="M28" s="12"/>
      <c r="N28" s="12"/>
      <c r="O28" s="12"/>
      <c r="P28" s="12"/>
      <c r="Q28" s="12"/>
      <c r="R28" s="13"/>
    </row>
    <row r="29" spans="8:18" ht="12.75">
      <c r="H29" s="4"/>
      <c r="I29" s="5"/>
      <c r="J29" s="5"/>
      <c r="K29" s="5"/>
      <c r="L29" s="5"/>
      <c r="M29" s="5"/>
      <c r="N29" s="5"/>
      <c r="O29" s="5"/>
      <c r="P29" s="5"/>
      <c r="Q29" s="5"/>
      <c r="R29" s="6"/>
    </row>
    <row r="30" spans="8:18" ht="12.75">
      <c r="H30" s="7"/>
      <c r="J30" s="290" t="s">
        <v>435</v>
      </c>
      <c r="K30" s="290"/>
      <c r="L30" s="290"/>
      <c r="M30" s="290"/>
      <c r="N30" s="165">
        <f>1/(O17*O19)</f>
        <v>0.005</v>
      </c>
      <c r="O30" s="2" t="s">
        <v>444</v>
      </c>
      <c r="P30" s="3"/>
      <c r="Q30" s="3"/>
      <c r="R30" s="8"/>
    </row>
    <row r="31" spans="8:18" ht="12.75">
      <c r="H31" s="7"/>
      <c r="J31" s="290" t="s">
        <v>436</v>
      </c>
      <c r="K31" s="290"/>
      <c r="L31" s="290"/>
      <c r="M31" s="290"/>
      <c r="N31" s="165">
        <f>Q10/(O12*O19)</f>
        <v>0.0008333333333333334</v>
      </c>
      <c r="O31" s="2" t="s">
        <v>444</v>
      </c>
      <c r="P31" s="3"/>
      <c r="Q31" s="3"/>
      <c r="R31" s="8"/>
    </row>
    <row r="32" spans="8:18" ht="12.75">
      <c r="H32" s="7"/>
      <c r="J32" s="290" t="s">
        <v>437</v>
      </c>
      <c r="K32" s="290"/>
      <c r="L32" s="290"/>
      <c r="M32" s="290"/>
      <c r="N32" s="165">
        <f>Q11/(O13*O19)</f>
        <v>0.1</v>
      </c>
      <c r="O32" s="2" t="s">
        <v>444</v>
      </c>
      <c r="P32" s="3"/>
      <c r="Q32" s="3"/>
      <c r="R32" s="8"/>
    </row>
    <row r="33" spans="8:18" ht="12.75">
      <c r="H33" s="7"/>
      <c r="J33" s="290" t="s">
        <v>438</v>
      </c>
      <c r="K33" s="290"/>
      <c r="L33" s="290"/>
      <c r="M33" s="290"/>
      <c r="N33" s="165">
        <f>1/(O18*O19)</f>
        <v>0.1</v>
      </c>
      <c r="O33" s="2" t="s">
        <v>444</v>
      </c>
      <c r="P33" s="3"/>
      <c r="Q33" s="3"/>
      <c r="R33" s="8"/>
    </row>
    <row r="34" spans="8:18" ht="12.75">
      <c r="H34" s="7"/>
      <c r="J34" s="290" t="s">
        <v>440</v>
      </c>
      <c r="K34" s="290"/>
      <c r="L34" s="290"/>
      <c r="M34" s="290"/>
      <c r="N34" s="165">
        <f>1/(O17*O20)</f>
        <v>0.0025</v>
      </c>
      <c r="O34" s="2" t="s">
        <v>444</v>
      </c>
      <c r="P34" s="3"/>
      <c r="Q34" s="3"/>
      <c r="R34" s="8"/>
    </row>
    <row r="35" spans="8:18" ht="12.75">
      <c r="H35" s="7"/>
      <c r="J35" s="290" t="s">
        <v>441</v>
      </c>
      <c r="K35" s="290"/>
      <c r="L35" s="290"/>
      <c r="M35" s="290"/>
      <c r="N35" s="165">
        <f>Q10/(O12*O20)</f>
        <v>0.0004166666666666667</v>
      </c>
      <c r="O35" s="2" t="s">
        <v>444</v>
      </c>
      <c r="P35" s="3"/>
      <c r="Q35" s="3"/>
      <c r="R35" s="8"/>
    </row>
    <row r="36" spans="8:18" ht="12.75">
      <c r="H36" s="7"/>
      <c r="J36" s="290" t="s">
        <v>443</v>
      </c>
      <c r="K36" s="290"/>
      <c r="L36" s="290"/>
      <c r="M36" s="290"/>
      <c r="N36" s="165">
        <f>Q11/(O14*O20)</f>
        <v>0.5</v>
      </c>
      <c r="O36" s="2" t="s">
        <v>444</v>
      </c>
      <c r="P36" s="3"/>
      <c r="Q36" s="3"/>
      <c r="R36" s="8"/>
    </row>
    <row r="37" spans="8:18" ht="12.75">
      <c r="H37" s="7"/>
      <c r="J37" s="290" t="s">
        <v>442</v>
      </c>
      <c r="K37" s="290"/>
      <c r="L37" s="290"/>
      <c r="M37" s="290"/>
      <c r="N37" s="165">
        <f>1/(O18*O20)</f>
        <v>0.05</v>
      </c>
      <c r="O37" s="2" t="s">
        <v>444</v>
      </c>
      <c r="P37" s="3"/>
      <c r="Q37" s="3"/>
      <c r="R37" s="8"/>
    </row>
    <row r="38" spans="8:18" ht="12.75">
      <c r="H38" s="7"/>
      <c r="J38" s="290" t="s">
        <v>451</v>
      </c>
      <c r="K38" s="290"/>
      <c r="L38" s="290"/>
      <c r="M38" s="290"/>
      <c r="N38" s="197">
        <f>N30+N31+N32+N33</f>
        <v>0.20583333333333334</v>
      </c>
      <c r="O38" s="2" t="s">
        <v>444</v>
      </c>
      <c r="P38" s="3"/>
      <c r="Q38" s="3"/>
      <c r="R38" s="8"/>
    </row>
    <row r="39" spans="8:18" ht="12.75">
      <c r="H39" s="7"/>
      <c r="J39" s="290" t="s">
        <v>452</v>
      </c>
      <c r="K39" s="290"/>
      <c r="L39" s="290"/>
      <c r="M39" s="290"/>
      <c r="N39" s="197">
        <f>N34+N35+N36+N37</f>
        <v>0.5529166666666667</v>
      </c>
      <c r="O39" s="2" t="s">
        <v>444</v>
      </c>
      <c r="P39" s="3"/>
      <c r="Q39" s="3"/>
      <c r="R39" s="8"/>
    </row>
    <row r="40" spans="8:18" ht="12.75">
      <c r="H40" s="7"/>
      <c r="J40" s="290" t="s">
        <v>449</v>
      </c>
      <c r="K40" s="290"/>
      <c r="L40" s="290"/>
      <c r="M40" s="290"/>
      <c r="N40" s="182">
        <f>(O15-O16)/N38</f>
        <v>485.82995951417</v>
      </c>
      <c r="O40" s="180" t="s">
        <v>75</v>
      </c>
      <c r="P40" s="3"/>
      <c r="Q40" s="3"/>
      <c r="R40" s="8"/>
    </row>
    <row r="41" spans="8:18" ht="12.75">
      <c r="H41" s="7"/>
      <c r="J41" s="290" t="s">
        <v>450</v>
      </c>
      <c r="K41" s="290"/>
      <c r="L41" s="290"/>
      <c r="M41" s="290"/>
      <c r="N41" s="182">
        <f>(O15-O16)/N39</f>
        <v>180.85908063300676</v>
      </c>
      <c r="O41" s="180" t="s">
        <v>75</v>
      </c>
      <c r="P41" s="3"/>
      <c r="Q41" s="3"/>
      <c r="R41" s="8"/>
    </row>
    <row r="42" spans="8:18" ht="12.75">
      <c r="H42" s="7"/>
      <c r="J42" s="290" t="s">
        <v>448</v>
      </c>
      <c r="K42" s="290"/>
      <c r="L42" s="290"/>
      <c r="M42" s="290"/>
      <c r="N42" s="182">
        <f>N40+N41</f>
        <v>666.6890401471768</v>
      </c>
      <c r="O42" s="2" t="s">
        <v>75</v>
      </c>
      <c r="P42" s="3"/>
      <c r="Q42" s="3"/>
      <c r="R42" s="8"/>
    </row>
    <row r="43" spans="8:18" ht="12.75">
      <c r="H43" s="7"/>
      <c r="J43" s="290" t="s">
        <v>453</v>
      </c>
      <c r="K43" s="290"/>
      <c r="L43" s="290"/>
      <c r="M43" s="290"/>
      <c r="N43" s="183">
        <f>O16+(N40*N33)</f>
        <v>48.582995951417004</v>
      </c>
      <c r="O43" s="2" t="s">
        <v>76</v>
      </c>
      <c r="P43" s="3"/>
      <c r="Q43" s="3"/>
      <c r="R43" s="8"/>
    </row>
    <row r="44" spans="8:18" ht="12.75">
      <c r="H44" s="7"/>
      <c r="J44" s="290" t="s">
        <v>454</v>
      </c>
      <c r="K44" s="290"/>
      <c r="L44" s="290"/>
      <c r="M44" s="290"/>
      <c r="N44" s="183">
        <f>O16+(N41*N37)</f>
        <v>9.042954031650337</v>
      </c>
      <c r="O44" s="2" t="s">
        <v>76</v>
      </c>
      <c r="P44" s="3"/>
      <c r="Q44" s="3"/>
      <c r="R44" s="8"/>
    </row>
    <row r="45" spans="8:18" ht="13.5" thickBot="1">
      <c r="H45" s="11"/>
      <c r="I45" s="261"/>
      <c r="J45" s="261"/>
      <c r="K45" s="261"/>
      <c r="L45" s="261"/>
      <c r="M45" s="12"/>
      <c r="N45" s="12"/>
      <c r="O45" s="12"/>
      <c r="P45" s="12"/>
      <c r="Q45" s="12"/>
      <c r="R45" s="13"/>
    </row>
  </sheetData>
  <mergeCells count="28">
    <mergeCell ref="J42:M42"/>
    <mergeCell ref="J43:M43"/>
    <mergeCell ref="J44:M44"/>
    <mergeCell ref="J38:M38"/>
    <mergeCell ref="J39:M39"/>
    <mergeCell ref="J40:M40"/>
    <mergeCell ref="J41:M41"/>
    <mergeCell ref="L17:N17"/>
    <mergeCell ref="L18:N18"/>
    <mergeCell ref="L19:N19"/>
    <mergeCell ref="L20:N20"/>
    <mergeCell ref="L15:N15"/>
    <mergeCell ref="L16:N16"/>
    <mergeCell ref="H5:R8"/>
    <mergeCell ref="L14:N14"/>
    <mergeCell ref="L10:N10"/>
    <mergeCell ref="L11:N11"/>
    <mergeCell ref="L13:N13"/>
    <mergeCell ref="J37:M37"/>
    <mergeCell ref="J34:M34"/>
    <mergeCell ref="B5:F10"/>
    <mergeCell ref="J35:M35"/>
    <mergeCell ref="J36:M36"/>
    <mergeCell ref="J30:M30"/>
    <mergeCell ref="J31:M31"/>
    <mergeCell ref="J32:M32"/>
    <mergeCell ref="J33:M33"/>
    <mergeCell ref="L12:N12"/>
  </mergeCell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2:L23"/>
  <sheetViews>
    <sheetView workbookViewId="0" topLeftCell="A1">
      <selection activeCell="B6" sqref="B6:C6"/>
    </sheetView>
  </sheetViews>
  <sheetFormatPr defaultColWidth="9.140625" defaultRowHeight="12.75"/>
  <cols>
    <col min="2" max="2" width="20.8515625" style="0" customWidth="1"/>
    <col min="3" max="3" width="12.421875" style="0" bestFit="1" customWidth="1"/>
    <col min="8" max="8" width="27.140625" style="0" bestFit="1" customWidth="1"/>
  </cols>
  <sheetData>
    <row r="2" spans="2:5" ht="13.5" thickBot="1">
      <c r="B2" s="19"/>
      <c r="C2" s="19"/>
      <c r="D2" s="19"/>
      <c r="E2" s="19"/>
    </row>
    <row r="3" spans="2:12" ht="12.75" customHeight="1">
      <c r="B3" s="291" t="s">
        <v>311</v>
      </c>
      <c r="C3" s="292"/>
      <c r="D3" s="292"/>
      <c r="E3" s="292"/>
      <c r="F3" s="293"/>
      <c r="H3" s="291" t="s">
        <v>409</v>
      </c>
      <c r="I3" s="292"/>
      <c r="J3" s="292"/>
      <c r="K3" s="292"/>
      <c r="L3" s="293"/>
    </row>
    <row r="4" spans="2:12" ht="12.75" customHeight="1" thickBot="1">
      <c r="B4" s="269"/>
      <c r="C4" s="270"/>
      <c r="D4" s="270"/>
      <c r="E4" s="270"/>
      <c r="F4" s="271"/>
      <c r="G4" s="36"/>
      <c r="H4" s="294"/>
      <c r="I4" s="295"/>
      <c r="J4" s="295"/>
      <c r="K4" s="295"/>
      <c r="L4" s="273"/>
    </row>
    <row r="5" spans="2:12" ht="12.75">
      <c r="B5" s="4"/>
      <c r="C5" s="5"/>
      <c r="D5" s="5"/>
      <c r="E5" s="5"/>
      <c r="F5" s="6"/>
      <c r="G5" s="31"/>
      <c r="H5" s="294"/>
      <c r="I5" s="295"/>
      <c r="J5" s="295"/>
      <c r="K5" s="295"/>
      <c r="L5" s="273"/>
    </row>
    <row r="6" spans="2:12" ht="12.75">
      <c r="B6" s="205" t="s">
        <v>49</v>
      </c>
      <c r="C6" s="189">
        <v>5</v>
      </c>
      <c r="D6" s="2"/>
      <c r="E6" s="3"/>
      <c r="F6" s="8"/>
      <c r="H6" s="294"/>
      <c r="I6" s="295"/>
      <c r="J6" s="295"/>
      <c r="K6" s="295"/>
      <c r="L6" s="273"/>
    </row>
    <row r="7" spans="2:12" ht="13.5" thickBot="1">
      <c r="B7" s="206" t="s">
        <v>308</v>
      </c>
      <c r="C7" s="163">
        <v>6</v>
      </c>
      <c r="D7" s="2" t="s">
        <v>7</v>
      </c>
      <c r="E7" s="3"/>
      <c r="F7" s="8"/>
      <c r="H7" s="269"/>
      <c r="I7" s="270"/>
      <c r="J7" s="270"/>
      <c r="K7" s="270"/>
      <c r="L7" s="271"/>
    </row>
    <row r="8" spans="2:12" ht="12.75">
      <c r="B8" s="206" t="s">
        <v>307</v>
      </c>
      <c r="C8" s="163">
        <v>106</v>
      </c>
      <c r="D8" s="2" t="s">
        <v>76</v>
      </c>
      <c r="E8" s="3"/>
      <c r="F8" s="8"/>
      <c r="H8" s="7"/>
      <c r="I8" s="3"/>
      <c r="J8" s="3"/>
      <c r="K8" s="3"/>
      <c r="L8" s="8"/>
    </row>
    <row r="9" spans="2:12" ht="12.75">
      <c r="B9" s="206" t="s">
        <v>304</v>
      </c>
      <c r="C9" s="163">
        <v>143000</v>
      </c>
      <c r="D9" s="2" t="s">
        <v>74</v>
      </c>
      <c r="E9" s="3"/>
      <c r="F9" s="8"/>
      <c r="H9" s="205" t="s">
        <v>319</v>
      </c>
      <c r="I9" s="189">
        <v>5</v>
      </c>
      <c r="J9" s="2"/>
      <c r="K9" s="3"/>
      <c r="L9" s="8"/>
    </row>
    <row r="10" spans="2:12" ht="12.75">
      <c r="B10" s="206" t="s">
        <v>306</v>
      </c>
      <c r="C10" s="203">
        <f>(8314/VLOOKUP(C6,'Tabelle termodinamiche'!L7:P21,3))*(C8+273)/(C7*100000)</f>
        <v>0.18127982970889425</v>
      </c>
      <c r="D10" s="2" t="s">
        <v>270</v>
      </c>
      <c r="E10" s="297" t="s">
        <v>407</v>
      </c>
      <c r="F10" s="298"/>
      <c r="H10" s="206" t="s">
        <v>312</v>
      </c>
      <c r="I10" s="189">
        <v>106</v>
      </c>
      <c r="J10" s="2" t="s">
        <v>76</v>
      </c>
      <c r="K10" s="3"/>
      <c r="L10" s="8"/>
    </row>
    <row r="11" spans="2:12" ht="12.75">
      <c r="B11" s="111" t="s">
        <v>305</v>
      </c>
      <c r="C11" s="197">
        <f>C9/((C8+273)*VLOOKUP(C6,'Tabelle termodinamiche'!L7:P21,5))</f>
        <v>0.3754315493771249</v>
      </c>
      <c r="D11" s="2" t="s">
        <v>2</v>
      </c>
      <c r="E11" s="297" t="s">
        <v>408</v>
      </c>
      <c r="F11" s="298"/>
      <c r="H11" s="206" t="s">
        <v>313</v>
      </c>
      <c r="I11" s="189">
        <v>15</v>
      </c>
      <c r="J11" s="2" t="s">
        <v>87</v>
      </c>
      <c r="K11" s="3"/>
      <c r="L11" s="8"/>
    </row>
    <row r="12" spans="2:12" ht="12.75">
      <c r="B12" s="206" t="s">
        <v>309</v>
      </c>
      <c r="C12" s="183">
        <f>9.81*C11</f>
        <v>3.6829834993895956</v>
      </c>
      <c r="D12" s="2" t="s">
        <v>164</v>
      </c>
      <c r="E12" s="297" t="s">
        <v>334</v>
      </c>
      <c r="F12" s="298"/>
      <c r="H12" s="206" t="s">
        <v>314</v>
      </c>
      <c r="I12" s="189">
        <v>143000</v>
      </c>
      <c r="J12" s="2" t="s">
        <v>74</v>
      </c>
      <c r="K12" s="3"/>
      <c r="L12" s="8"/>
    </row>
    <row r="13" spans="2:12" ht="12.75">
      <c r="B13" s="206" t="s">
        <v>310</v>
      </c>
      <c r="C13" s="197">
        <f>C11*C10</f>
        <v>0.06805816733843154</v>
      </c>
      <c r="D13" s="2" t="s">
        <v>87</v>
      </c>
      <c r="E13" s="290" t="s">
        <v>335</v>
      </c>
      <c r="F13" s="299"/>
      <c r="H13" s="206" t="s">
        <v>316</v>
      </c>
      <c r="I13" s="188">
        <f>101325*I11/(8314/(VLOOKUP(I9,'Tabelle termodinamiche'!L7:P21,3))*(273+I10))</f>
        <v>13.973562332156778</v>
      </c>
      <c r="J13" s="2" t="s">
        <v>2</v>
      </c>
      <c r="K13" s="268" t="s">
        <v>323</v>
      </c>
      <c r="L13" s="296"/>
    </row>
    <row r="14" spans="2:12" ht="13.5" thickBot="1">
      <c r="B14" s="236"/>
      <c r="C14" s="237"/>
      <c r="D14" s="237"/>
      <c r="E14" s="237"/>
      <c r="F14" s="238"/>
      <c r="H14" s="206" t="s">
        <v>317</v>
      </c>
      <c r="I14" s="188">
        <f>I12/(I13*(VLOOKUP(I9,'Tabelle termodinamiche'!L7:P21,5)))</f>
        <v>10.182697427590643</v>
      </c>
      <c r="J14" s="2" t="s">
        <v>76</v>
      </c>
      <c r="K14" s="268" t="s">
        <v>321</v>
      </c>
      <c r="L14" s="296"/>
    </row>
    <row r="15" spans="2:12" ht="12.75">
      <c r="B15" s="3"/>
      <c r="C15" s="3"/>
      <c r="D15" s="3"/>
      <c r="E15" s="3"/>
      <c r="F15" s="3"/>
      <c r="H15" s="206" t="s">
        <v>315</v>
      </c>
      <c r="I15" s="188">
        <f>I14+I10</f>
        <v>116.18269742759064</v>
      </c>
      <c r="J15" s="2" t="s">
        <v>76</v>
      </c>
      <c r="K15" s="268" t="s">
        <v>322</v>
      </c>
      <c r="L15" s="296"/>
    </row>
    <row r="16" spans="8:12" ht="12.75">
      <c r="H16" s="206" t="s">
        <v>318</v>
      </c>
      <c r="I16" s="188">
        <f>101325*I11/(8314/(VLOOKUP(I9,'Tabelle termodinamiche'!L7:P21,3))*(273+I15))</f>
        <v>13.607953690882574</v>
      </c>
      <c r="J16" s="2" t="s">
        <v>2</v>
      </c>
      <c r="K16" s="268" t="s">
        <v>324</v>
      </c>
      <c r="L16" s="296"/>
    </row>
    <row r="17" spans="8:12" ht="12.75">
      <c r="H17" s="206" t="s">
        <v>320</v>
      </c>
      <c r="I17" s="188">
        <f>I13-I16</f>
        <v>0.36560864127420345</v>
      </c>
      <c r="J17" s="2" t="s">
        <v>2</v>
      </c>
      <c r="K17" s="268" t="s">
        <v>325</v>
      </c>
      <c r="L17" s="296"/>
    </row>
    <row r="18" spans="4:12" ht="13.5" thickBot="1">
      <c r="D18" s="40"/>
      <c r="E18" s="40"/>
      <c r="H18" s="11"/>
      <c r="I18" s="12"/>
      <c r="J18" s="12"/>
      <c r="K18" s="12"/>
      <c r="L18" s="13"/>
    </row>
    <row r="19" spans="4:5" ht="12.75">
      <c r="D19" s="40"/>
      <c r="E19" s="40"/>
    </row>
    <row r="20" spans="4:5" ht="12.75">
      <c r="D20" s="40"/>
      <c r="E20" s="40"/>
    </row>
    <row r="21" spans="4:5" ht="12.75">
      <c r="D21" s="40"/>
      <c r="E21" s="40"/>
    </row>
    <row r="22" spans="4:5" ht="12.75">
      <c r="D22" s="40"/>
      <c r="E22" s="40"/>
    </row>
    <row r="23" spans="4:5" ht="12.75">
      <c r="D23" s="40"/>
      <c r="E23" s="40"/>
    </row>
  </sheetData>
  <mergeCells count="11">
    <mergeCell ref="E12:F12"/>
    <mergeCell ref="B3:F4"/>
    <mergeCell ref="K13:L13"/>
    <mergeCell ref="K14:L14"/>
    <mergeCell ref="E13:F13"/>
    <mergeCell ref="E10:F10"/>
    <mergeCell ref="E11:F11"/>
    <mergeCell ref="K15:L15"/>
    <mergeCell ref="H3:L7"/>
    <mergeCell ref="K16:L16"/>
    <mergeCell ref="K17:L17"/>
  </mergeCells>
  <printOptions/>
  <pageMargins left="0.75" right="0.75" top="1" bottom="1" header="0.5" footer="0.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2:R32"/>
  <sheetViews>
    <sheetView workbookViewId="0" topLeftCell="A1">
      <selection activeCell="H15" sqref="H15"/>
    </sheetView>
  </sheetViews>
  <sheetFormatPr defaultColWidth="9.140625" defaultRowHeight="12.75"/>
  <cols>
    <col min="2" max="2" width="30.28125" style="0" customWidth="1"/>
    <col min="3" max="3" width="9.57421875" style="0" bestFit="1" customWidth="1"/>
    <col min="5" max="5" width="9.57421875" style="0" bestFit="1" customWidth="1"/>
  </cols>
  <sheetData>
    <row r="1" ht="13.5" thickBot="1"/>
    <row r="2" spans="2:18" ht="13.5" thickBot="1">
      <c r="B2" s="17" t="s">
        <v>36</v>
      </c>
      <c r="C2" s="14"/>
      <c r="D2" s="14"/>
      <c r="E2" s="14"/>
      <c r="F2" s="15"/>
      <c r="M2" s="29"/>
      <c r="N2" s="35"/>
      <c r="O2" s="35"/>
      <c r="P2" s="35"/>
      <c r="Q2" s="35"/>
      <c r="R2" s="36"/>
    </row>
    <row r="3" spans="2:18" ht="12.75">
      <c r="B3" s="4"/>
      <c r="C3" s="5"/>
      <c r="D3" s="5"/>
      <c r="E3" s="5"/>
      <c r="F3" s="6"/>
      <c r="M3" s="31"/>
      <c r="N3" s="35"/>
      <c r="O3" s="35"/>
      <c r="P3" s="35"/>
      <c r="Q3" s="35"/>
      <c r="R3" s="36"/>
    </row>
    <row r="4" spans="2:6" ht="12.75">
      <c r="B4" s="7"/>
      <c r="C4" s="3"/>
      <c r="D4" s="3"/>
      <c r="E4" s="3"/>
      <c r="F4" s="8"/>
    </row>
    <row r="5" spans="2:6" ht="13.5" thickBot="1">
      <c r="B5" s="7" t="s">
        <v>23</v>
      </c>
      <c r="C5" s="9">
        <v>400</v>
      </c>
      <c r="D5" s="3" t="s">
        <v>22</v>
      </c>
      <c r="E5" s="3"/>
      <c r="F5" s="8"/>
    </row>
    <row r="6" spans="2:9" ht="12.75">
      <c r="B6" s="7" t="s">
        <v>24</v>
      </c>
      <c r="C6" s="9">
        <v>800</v>
      </c>
      <c r="D6" s="3" t="s">
        <v>22</v>
      </c>
      <c r="E6" s="3"/>
      <c r="F6" s="8"/>
      <c r="H6" s="306" t="s">
        <v>336</v>
      </c>
      <c r="I6" s="307"/>
    </row>
    <row r="7" spans="2:9" ht="12.75">
      <c r="B7" s="7" t="s">
        <v>28</v>
      </c>
      <c r="C7" s="10">
        <f>C5+C6</f>
        <v>1200</v>
      </c>
      <c r="D7" s="3" t="s">
        <v>22</v>
      </c>
      <c r="E7" s="3"/>
      <c r="F7" s="8"/>
      <c r="H7" s="300"/>
      <c r="I7" s="301"/>
    </row>
    <row r="8" spans="2:9" ht="12.75">
      <c r="B8" s="7"/>
      <c r="C8" s="19"/>
      <c r="D8" s="3"/>
      <c r="E8" s="3"/>
      <c r="F8" s="8"/>
      <c r="H8" s="308" t="s">
        <v>337</v>
      </c>
      <c r="I8" s="309"/>
    </row>
    <row r="9" spans="2:9" ht="12.75">
      <c r="B9" s="7" t="s">
        <v>25</v>
      </c>
      <c r="C9" s="9">
        <v>32</v>
      </c>
      <c r="D9" s="3" t="s">
        <v>76</v>
      </c>
      <c r="E9" s="10">
        <f>C9+273</f>
        <v>305</v>
      </c>
      <c r="F9" s="8" t="s">
        <v>0</v>
      </c>
      <c r="H9" s="300"/>
      <c r="I9" s="301"/>
    </row>
    <row r="10" spans="2:9" ht="12.75">
      <c r="B10" s="7" t="s">
        <v>26</v>
      </c>
      <c r="C10" s="9">
        <v>26</v>
      </c>
      <c r="D10" s="3" t="s">
        <v>76</v>
      </c>
      <c r="E10" s="10">
        <f>C10+273</f>
        <v>299</v>
      </c>
      <c r="F10" s="8" t="s">
        <v>0</v>
      </c>
      <c r="H10" s="302" t="s">
        <v>339</v>
      </c>
      <c r="I10" s="303"/>
    </row>
    <row r="11" spans="2:9" ht="13.5" thickBot="1">
      <c r="B11" s="7" t="s">
        <v>27</v>
      </c>
      <c r="C11" s="18">
        <f>(C25-2500*C15)/(1+1.9*C15)</f>
        <v>28.0322350836836</v>
      </c>
      <c r="D11" s="3" t="s">
        <v>76</v>
      </c>
      <c r="E11" s="18">
        <f>C11+273</f>
        <v>301.0322350836836</v>
      </c>
      <c r="F11" s="8" t="s">
        <v>0</v>
      </c>
      <c r="H11" s="304"/>
      <c r="I11" s="305"/>
    </row>
    <row r="12" spans="2:9" ht="12.75">
      <c r="B12" s="7"/>
      <c r="C12" s="3"/>
      <c r="D12" s="3"/>
      <c r="E12" s="3"/>
      <c r="F12" s="8"/>
      <c r="H12" s="3"/>
      <c r="I12" s="3"/>
    </row>
    <row r="13" spans="2:9" ht="12.75">
      <c r="B13" s="7" t="s">
        <v>29</v>
      </c>
      <c r="C13" s="10">
        <f>0.622*((C28*C17)/(C21-C28*C17))</f>
        <v>0.02461589103253955</v>
      </c>
      <c r="D13" s="3" t="s">
        <v>40</v>
      </c>
      <c r="E13" s="3"/>
      <c r="F13" s="8"/>
      <c r="H13" s="161"/>
      <c r="I13" s="161"/>
    </row>
    <row r="14" spans="2:9" ht="12.75">
      <c r="B14" s="7" t="s">
        <v>30</v>
      </c>
      <c r="C14" s="10">
        <f>0.622*(C29*C18)/(C21-C29*C18)</f>
        <v>0.011507666766819273</v>
      </c>
      <c r="D14" s="3" t="s">
        <v>40</v>
      </c>
      <c r="E14" s="3"/>
      <c r="F14" s="8"/>
      <c r="H14" s="3"/>
      <c r="I14" s="3"/>
    </row>
    <row r="15" spans="2:6" ht="12.75">
      <c r="B15" s="7" t="s">
        <v>31</v>
      </c>
      <c r="C15" s="10">
        <f>((C13*C5)+(C14*C6))/C7</f>
        <v>0.0158770748553927</v>
      </c>
      <c r="D15" s="3" t="s">
        <v>40</v>
      </c>
      <c r="E15" s="3"/>
      <c r="F15" s="8"/>
    </row>
    <row r="16" spans="2:6" ht="12.75">
      <c r="B16" s="7"/>
      <c r="C16" s="3"/>
      <c r="D16" s="3"/>
      <c r="E16" s="3"/>
      <c r="F16" s="8"/>
    </row>
    <row r="17" spans="2:6" ht="12.75">
      <c r="B17" s="7" t="s">
        <v>32</v>
      </c>
      <c r="C17" s="10">
        <f>VLOOKUP(C9,'Tabelle termodinamiche'!B6:J754,2)</f>
        <v>0.047586</v>
      </c>
      <c r="D17" s="3"/>
      <c r="E17" s="3"/>
      <c r="F17" s="8"/>
    </row>
    <row r="18" spans="2:6" ht="12.75">
      <c r="B18" s="7" t="s">
        <v>33</v>
      </c>
      <c r="C18" s="10">
        <f>VLOOKUP(C10,'Tabelle termodinamiche'!B6:J754,2)</f>
        <v>0.03633</v>
      </c>
      <c r="D18" s="3"/>
      <c r="E18" s="3"/>
      <c r="F18" s="8"/>
    </row>
    <row r="19" spans="2:6" ht="12.75">
      <c r="B19" s="7" t="s">
        <v>34</v>
      </c>
      <c r="C19" s="10">
        <f>VLOOKUP(C11,'Tabelle termodinamiche'!B6:J754,2)</f>
        <v>0.037823</v>
      </c>
      <c r="D19" s="3"/>
      <c r="E19" s="3"/>
      <c r="F19" s="8"/>
    </row>
    <row r="20" spans="2:6" ht="12.75">
      <c r="B20" s="7"/>
      <c r="C20" s="3"/>
      <c r="D20" s="3"/>
      <c r="E20" s="3"/>
      <c r="F20" s="8"/>
    </row>
    <row r="21" spans="2:6" ht="12.75">
      <c r="B21" s="7" t="s">
        <v>35</v>
      </c>
      <c r="C21" s="216">
        <v>1</v>
      </c>
      <c r="D21" s="3"/>
      <c r="E21" s="3"/>
      <c r="F21" s="8"/>
    </row>
    <row r="22" spans="2:6" ht="12.75">
      <c r="B22" s="7"/>
      <c r="C22" s="3"/>
      <c r="D22" s="3"/>
      <c r="E22" s="3"/>
      <c r="F22" s="8"/>
    </row>
    <row r="23" spans="2:6" ht="12.75">
      <c r="B23" s="7" t="s">
        <v>37</v>
      </c>
      <c r="C23" s="18">
        <f>C9+C13*(2500+(1.9*C9))</f>
        <v>95.03637375612729</v>
      </c>
      <c r="D23" s="3" t="s">
        <v>41</v>
      </c>
      <c r="E23" s="3"/>
      <c r="F23" s="8"/>
    </row>
    <row r="24" spans="2:6" ht="12.75">
      <c r="B24" s="7" t="s">
        <v>38</v>
      </c>
      <c r="C24" s="18">
        <f>C10+C14*(2500+(1.9*C10))</f>
        <v>55.337645655329055</v>
      </c>
      <c r="D24" s="3" t="s">
        <v>41</v>
      </c>
      <c r="E24" s="3"/>
      <c r="F24" s="8"/>
    </row>
    <row r="25" spans="2:6" ht="12.75">
      <c r="B25" s="7" t="s">
        <v>39</v>
      </c>
      <c r="C25" s="18">
        <f>(C5*C23+C6*C24)/C7</f>
        <v>68.5705550222618</v>
      </c>
      <c r="D25" s="3" t="s">
        <v>41</v>
      </c>
      <c r="E25" s="3"/>
      <c r="F25" s="8"/>
    </row>
    <row r="26" spans="2:6" ht="12.75">
      <c r="B26" s="7"/>
      <c r="C26" s="3"/>
      <c r="D26" s="3"/>
      <c r="E26" s="3"/>
      <c r="F26" s="8"/>
    </row>
    <row r="27" spans="2:6" ht="12.75">
      <c r="B27" s="7"/>
      <c r="C27" s="3"/>
      <c r="D27" s="3"/>
      <c r="E27" s="3"/>
      <c r="F27" s="8"/>
    </row>
    <row r="28" spans="2:6" ht="12.75">
      <c r="B28" s="7" t="s">
        <v>95</v>
      </c>
      <c r="C28" s="20">
        <v>0.8</v>
      </c>
      <c r="D28" s="3"/>
      <c r="E28" s="3"/>
      <c r="F28" s="8"/>
    </row>
    <row r="29" spans="2:8" ht="12.75">
      <c r="B29" s="7" t="s">
        <v>96</v>
      </c>
      <c r="C29" s="20">
        <v>0.5</v>
      </c>
      <c r="D29" s="3"/>
      <c r="E29" s="3"/>
      <c r="F29" s="8"/>
      <c r="H29" s="3"/>
    </row>
    <row r="30" spans="2:8" ht="12.75">
      <c r="B30" s="7" t="s">
        <v>97</v>
      </c>
      <c r="C30" s="18">
        <f>(C21*C15)/((C15*C19)+(0.622*C19))</f>
        <v>0.6580782323589045</v>
      </c>
      <c r="D30" s="3"/>
      <c r="E30" s="3"/>
      <c r="F30" s="8"/>
      <c r="H30" s="3"/>
    </row>
    <row r="31" spans="2:8" ht="12.75">
      <c r="B31" s="7"/>
      <c r="C31" s="3"/>
      <c r="D31" s="3"/>
      <c r="E31" s="3"/>
      <c r="F31" s="8"/>
      <c r="H31" s="3"/>
    </row>
    <row r="32" spans="2:6" ht="13.5" thickBot="1">
      <c r="B32" s="11"/>
      <c r="C32" s="12"/>
      <c r="D32" s="12"/>
      <c r="E32" s="12"/>
      <c r="F32" s="13"/>
    </row>
  </sheetData>
  <mergeCells count="6">
    <mergeCell ref="H9:I9"/>
    <mergeCell ref="H10:I10"/>
    <mergeCell ref="H11:I11"/>
    <mergeCell ref="H6:I6"/>
    <mergeCell ref="H8:I8"/>
    <mergeCell ref="H7:I7"/>
  </mergeCells>
  <printOptions/>
  <pageMargins left="0.75" right="0.75" top="1" bottom="1" header="0.5" footer="0.5"/>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B3:I42"/>
  <sheetViews>
    <sheetView workbookViewId="0" topLeftCell="A1">
      <selection activeCell="K12" sqref="K12"/>
    </sheetView>
  </sheetViews>
  <sheetFormatPr defaultColWidth="9.140625" defaultRowHeight="12.75"/>
  <cols>
    <col min="3" max="3" width="28.00390625" style="0" customWidth="1"/>
  </cols>
  <sheetData>
    <row r="2" ht="13.5" thickBot="1"/>
    <row r="3" spans="2:9" ht="12.75">
      <c r="B3" s="291" t="s">
        <v>483</v>
      </c>
      <c r="C3" s="292"/>
      <c r="D3" s="292"/>
      <c r="E3" s="292"/>
      <c r="F3" s="292"/>
      <c r="G3" s="292"/>
      <c r="H3" s="292"/>
      <c r="I3" s="293"/>
    </row>
    <row r="4" spans="2:9" ht="12.75">
      <c r="B4" s="294"/>
      <c r="C4" s="295"/>
      <c r="D4" s="295"/>
      <c r="E4" s="295"/>
      <c r="F4" s="295"/>
      <c r="G4" s="295"/>
      <c r="H4" s="295"/>
      <c r="I4" s="273"/>
    </row>
    <row r="5" spans="2:9" ht="12.75">
      <c r="B5" s="294"/>
      <c r="C5" s="295"/>
      <c r="D5" s="295"/>
      <c r="E5" s="295"/>
      <c r="F5" s="295"/>
      <c r="G5" s="295"/>
      <c r="H5" s="295"/>
      <c r="I5" s="273"/>
    </row>
    <row r="6" spans="2:9" ht="12.75">
      <c r="B6" s="294"/>
      <c r="C6" s="295"/>
      <c r="D6" s="295"/>
      <c r="E6" s="295"/>
      <c r="F6" s="295"/>
      <c r="G6" s="295"/>
      <c r="H6" s="295"/>
      <c r="I6" s="273"/>
    </row>
    <row r="7" spans="2:9" ht="12.75">
      <c r="B7" s="294"/>
      <c r="C7" s="295"/>
      <c r="D7" s="295"/>
      <c r="E7" s="295"/>
      <c r="F7" s="295"/>
      <c r="G7" s="295"/>
      <c r="H7" s="295"/>
      <c r="I7" s="273"/>
    </row>
    <row r="8" spans="2:9" ht="12.75">
      <c r="B8" s="294"/>
      <c r="C8" s="295"/>
      <c r="D8" s="295"/>
      <c r="E8" s="295"/>
      <c r="F8" s="295"/>
      <c r="G8" s="295"/>
      <c r="H8" s="295"/>
      <c r="I8" s="273"/>
    </row>
    <row r="9" spans="2:9" ht="13.5" thickBot="1">
      <c r="B9" s="269"/>
      <c r="C9" s="270"/>
      <c r="D9" s="270"/>
      <c r="E9" s="270"/>
      <c r="F9" s="270"/>
      <c r="G9" s="270"/>
      <c r="H9" s="270"/>
      <c r="I9" s="271"/>
    </row>
    <row r="10" spans="2:9" ht="12.75">
      <c r="B10" s="4"/>
      <c r="C10" s="5"/>
      <c r="D10" s="5"/>
      <c r="E10" s="5"/>
      <c r="F10" s="5"/>
      <c r="G10" s="5"/>
      <c r="H10" s="5"/>
      <c r="I10" s="6"/>
    </row>
    <row r="11" spans="2:9" ht="12.75">
      <c r="B11" s="7"/>
      <c r="C11" s="2" t="s">
        <v>484</v>
      </c>
      <c r="D11" s="163">
        <v>13.5</v>
      </c>
      <c r="E11" s="2" t="s">
        <v>485</v>
      </c>
      <c r="F11" s="3"/>
      <c r="G11" s="3"/>
      <c r="H11" s="3"/>
      <c r="I11" s="8"/>
    </row>
    <row r="12" spans="2:9" ht="12.75">
      <c r="B12" s="7"/>
      <c r="C12" s="2" t="s">
        <v>486</v>
      </c>
      <c r="D12" s="163">
        <v>12</v>
      </c>
      <c r="E12" s="2" t="s">
        <v>2</v>
      </c>
      <c r="F12" s="3"/>
      <c r="G12" s="3"/>
      <c r="H12" s="3"/>
      <c r="I12" s="8"/>
    </row>
    <row r="13" spans="2:9" ht="12.75">
      <c r="B13" s="7"/>
      <c r="C13" s="2" t="s">
        <v>487</v>
      </c>
      <c r="D13" s="163">
        <v>245</v>
      </c>
      <c r="E13" s="2" t="s">
        <v>7</v>
      </c>
      <c r="F13" s="3"/>
      <c r="G13" s="3"/>
      <c r="H13" s="3"/>
      <c r="I13" s="8"/>
    </row>
    <row r="14" spans="2:9" ht="12.75">
      <c r="B14" s="7"/>
      <c r="C14" s="2" t="s">
        <v>488</v>
      </c>
      <c r="D14" s="163">
        <v>53</v>
      </c>
      <c r="E14" s="2" t="s">
        <v>76</v>
      </c>
      <c r="F14" s="3"/>
      <c r="G14" s="3"/>
      <c r="H14" s="3"/>
      <c r="I14" s="8"/>
    </row>
    <row r="15" spans="2:9" ht="12.75">
      <c r="B15" s="7"/>
      <c r="C15" s="2" t="s">
        <v>503</v>
      </c>
      <c r="D15" s="163">
        <v>7650</v>
      </c>
      <c r="E15" s="2" t="s">
        <v>489</v>
      </c>
      <c r="F15" s="3"/>
      <c r="G15" s="3"/>
      <c r="H15" s="3"/>
      <c r="I15" s="8"/>
    </row>
    <row r="16" spans="2:9" ht="12.75">
      <c r="B16" s="7"/>
      <c r="C16" s="2" t="s">
        <v>490</v>
      </c>
      <c r="D16" s="183">
        <f>D13*100000*(D11/1000)/(287*(273+D14))</f>
        <v>3.5350890318719137</v>
      </c>
      <c r="E16" s="2" t="s">
        <v>2</v>
      </c>
      <c r="F16" s="310" t="s">
        <v>491</v>
      </c>
      <c r="G16" s="311"/>
      <c r="H16" s="311"/>
      <c r="I16" s="312"/>
    </row>
    <row r="17" spans="2:9" ht="12.75">
      <c r="B17" s="7"/>
      <c r="C17" s="2" t="s">
        <v>492</v>
      </c>
      <c r="D17" s="183">
        <f>D16+D12</f>
        <v>15.535089031871914</v>
      </c>
      <c r="E17" s="2" t="s">
        <v>2</v>
      </c>
      <c r="F17" s="310" t="s">
        <v>493</v>
      </c>
      <c r="G17" s="311"/>
      <c r="H17" s="311"/>
      <c r="I17" s="312"/>
    </row>
    <row r="18" spans="2:9" ht="12.75">
      <c r="B18" s="7"/>
      <c r="C18" s="2" t="s">
        <v>494</v>
      </c>
      <c r="D18" s="183">
        <f>D16*287*273/101325</f>
        <v>2.7335579643345307</v>
      </c>
      <c r="E18" s="2" t="s">
        <v>2</v>
      </c>
      <c r="F18" s="310" t="s">
        <v>495</v>
      </c>
      <c r="G18" s="311"/>
      <c r="H18" s="311"/>
      <c r="I18" s="312"/>
    </row>
    <row r="19" spans="2:9" ht="12.75">
      <c r="B19" s="7"/>
      <c r="C19" s="2" t="s">
        <v>496</v>
      </c>
      <c r="D19" s="165">
        <f>D12/D15</f>
        <v>0.001568627450980392</v>
      </c>
      <c r="E19" s="2" t="s">
        <v>77</v>
      </c>
      <c r="F19" s="197">
        <f>D19*1000</f>
        <v>1.5686274509803921</v>
      </c>
      <c r="G19" s="2" t="s">
        <v>485</v>
      </c>
      <c r="H19" s="310" t="s">
        <v>504</v>
      </c>
      <c r="I19" s="312"/>
    </row>
    <row r="20" spans="2:9" ht="12.75">
      <c r="B20" s="7"/>
      <c r="C20" s="2" t="s">
        <v>497</v>
      </c>
      <c r="D20" s="197">
        <f>F19+D11</f>
        <v>15.068627450980392</v>
      </c>
      <c r="E20" s="2" t="s">
        <v>485</v>
      </c>
      <c r="F20" s="310" t="s">
        <v>498</v>
      </c>
      <c r="G20" s="311"/>
      <c r="H20" s="311"/>
      <c r="I20" s="312"/>
    </row>
    <row r="21" spans="2:9" ht="12.75">
      <c r="B21" s="7"/>
      <c r="C21" s="2" t="s">
        <v>499</v>
      </c>
      <c r="D21" s="197">
        <f>D20-D17</f>
        <v>-0.46646158089152223</v>
      </c>
      <c r="E21" s="2" t="s">
        <v>2</v>
      </c>
      <c r="F21" s="310" t="s">
        <v>500</v>
      </c>
      <c r="G21" s="311"/>
      <c r="H21" s="311"/>
      <c r="I21" s="312"/>
    </row>
    <row r="22" spans="2:9" ht="12.75">
      <c r="B22" s="7"/>
      <c r="C22" s="2" t="s">
        <v>501</v>
      </c>
      <c r="D22" s="197">
        <f>D20-D12</f>
        <v>3.068627450980392</v>
      </c>
      <c r="E22" s="2" t="s">
        <v>2</v>
      </c>
      <c r="F22" s="310" t="s">
        <v>502</v>
      </c>
      <c r="G22" s="311"/>
      <c r="H22" s="311"/>
      <c r="I22" s="312"/>
    </row>
    <row r="23" spans="2:9" ht="12.75">
      <c r="B23" s="7"/>
      <c r="C23" s="3"/>
      <c r="D23" s="3"/>
      <c r="E23" s="3"/>
      <c r="F23" s="3"/>
      <c r="G23" s="3"/>
      <c r="H23" s="3"/>
      <c r="I23" s="8"/>
    </row>
    <row r="24" spans="2:9" ht="13.5" thickBot="1">
      <c r="B24" s="11"/>
      <c r="C24" s="12"/>
      <c r="D24" s="12"/>
      <c r="E24" s="12"/>
      <c r="F24" s="12"/>
      <c r="G24" s="12"/>
      <c r="H24" s="12"/>
      <c r="I24" s="13"/>
    </row>
    <row r="25" spans="3:5" ht="13.5" thickBot="1">
      <c r="C25" s="3"/>
      <c r="D25" s="3"/>
      <c r="E25" s="3"/>
    </row>
    <row r="26" spans="2:9" ht="12.75">
      <c r="B26" s="291" t="s">
        <v>513</v>
      </c>
      <c r="C26" s="292"/>
      <c r="D26" s="292"/>
      <c r="E26" s="292"/>
      <c r="F26" s="292"/>
      <c r="G26" s="292"/>
      <c r="H26" s="292"/>
      <c r="I26" s="293"/>
    </row>
    <row r="27" spans="2:9" ht="12.75">
      <c r="B27" s="294"/>
      <c r="C27" s="295"/>
      <c r="D27" s="295"/>
      <c r="E27" s="295"/>
      <c r="F27" s="295"/>
      <c r="G27" s="295"/>
      <c r="H27" s="295"/>
      <c r="I27" s="273"/>
    </row>
    <row r="28" spans="2:9" ht="12.75">
      <c r="B28" s="294"/>
      <c r="C28" s="295"/>
      <c r="D28" s="295"/>
      <c r="E28" s="295"/>
      <c r="F28" s="295"/>
      <c r="G28" s="295"/>
      <c r="H28" s="295"/>
      <c r="I28" s="273"/>
    </row>
    <row r="29" spans="2:9" ht="12.75">
      <c r="B29" s="294"/>
      <c r="C29" s="295"/>
      <c r="D29" s="295"/>
      <c r="E29" s="295"/>
      <c r="F29" s="295"/>
      <c r="G29" s="295"/>
      <c r="H29" s="295"/>
      <c r="I29" s="273"/>
    </row>
    <row r="30" spans="2:9" ht="13.5" thickBot="1">
      <c r="B30" s="269"/>
      <c r="C30" s="270"/>
      <c r="D30" s="270"/>
      <c r="E30" s="270"/>
      <c r="F30" s="270"/>
      <c r="G30" s="270"/>
      <c r="H30" s="270"/>
      <c r="I30" s="271"/>
    </row>
    <row r="31" spans="2:9" ht="12.75">
      <c r="B31" s="264"/>
      <c r="C31" s="265"/>
      <c r="D31" s="265"/>
      <c r="E31" s="265"/>
      <c r="F31" s="265"/>
      <c r="G31" s="265"/>
      <c r="H31" s="265"/>
      <c r="I31" s="266"/>
    </row>
    <row r="32" spans="2:9" ht="12.75">
      <c r="B32" s="7"/>
      <c r="C32" s="2" t="s">
        <v>505</v>
      </c>
      <c r="D32" s="163">
        <v>11300</v>
      </c>
      <c r="E32" s="2" t="s">
        <v>489</v>
      </c>
      <c r="F32" s="3"/>
      <c r="G32" s="3"/>
      <c r="H32" s="3"/>
      <c r="I32" s="8"/>
    </row>
    <row r="33" spans="2:9" ht="12.75">
      <c r="B33" s="7"/>
      <c r="C33" s="2" t="s">
        <v>511</v>
      </c>
      <c r="D33" s="163">
        <v>1030</v>
      </c>
      <c r="E33" s="2" t="s">
        <v>489</v>
      </c>
      <c r="F33" s="3"/>
      <c r="G33" s="3"/>
      <c r="H33" s="3"/>
      <c r="I33" s="8"/>
    </row>
    <row r="34" spans="2:9" ht="12.75">
      <c r="B34" s="7"/>
      <c r="C34" s="2" t="s">
        <v>506</v>
      </c>
      <c r="D34" s="163">
        <v>26</v>
      </c>
      <c r="E34" s="2" t="s">
        <v>375</v>
      </c>
      <c r="F34" s="3"/>
      <c r="G34" s="3"/>
      <c r="H34" s="3"/>
      <c r="I34" s="8"/>
    </row>
    <row r="35" spans="2:9" ht="12.75">
      <c r="B35" s="7"/>
      <c r="C35" s="2" t="s">
        <v>507</v>
      </c>
      <c r="D35" s="163">
        <v>85</v>
      </c>
      <c r="E35" s="2" t="s">
        <v>2</v>
      </c>
      <c r="F35" s="3"/>
      <c r="G35" s="3"/>
      <c r="H35" s="3"/>
      <c r="I35" s="8"/>
    </row>
    <row r="36" spans="2:9" ht="12.75">
      <c r="B36" s="7"/>
      <c r="C36" s="2" t="s">
        <v>508</v>
      </c>
      <c r="D36" s="183">
        <f>D35*9.81</f>
        <v>833.85</v>
      </c>
      <c r="E36" s="2" t="s">
        <v>164</v>
      </c>
      <c r="F36" s="310" t="s">
        <v>509</v>
      </c>
      <c r="G36" s="311"/>
      <c r="H36" s="311"/>
      <c r="I36" s="312"/>
    </row>
    <row r="37" spans="2:9" ht="12.75">
      <c r="B37" s="7"/>
      <c r="C37" s="2" t="s">
        <v>497</v>
      </c>
      <c r="D37" s="181">
        <f>D35/D32</f>
        <v>0.00752212389380531</v>
      </c>
      <c r="E37" s="2" t="s">
        <v>77</v>
      </c>
      <c r="F37" s="310" t="s">
        <v>510</v>
      </c>
      <c r="G37" s="311"/>
      <c r="H37" s="311"/>
      <c r="I37" s="312"/>
    </row>
    <row r="38" spans="2:9" ht="12.75">
      <c r="B38" s="7"/>
      <c r="C38" s="2" t="s">
        <v>512</v>
      </c>
      <c r="D38" s="183">
        <f>((D36/(D33*9.81))-D37)*1000</f>
        <v>75.00214795085488</v>
      </c>
      <c r="E38" s="2" t="s">
        <v>485</v>
      </c>
      <c r="F38" s="310" t="s">
        <v>516</v>
      </c>
      <c r="G38" s="311"/>
      <c r="H38" s="311"/>
      <c r="I38" s="312"/>
    </row>
    <row r="39" spans="2:9" ht="12.75">
      <c r="B39" s="7"/>
      <c r="C39" s="2" t="s">
        <v>514</v>
      </c>
      <c r="D39" s="182">
        <f>101325+(D33*9.81*D34)</f>
        <v>364036.80000000005</v>
      </c>
      <c r="E39" s="2" t="s">
        <v>6</v>
      </c>
      <c r="F39" s="310" t="s">
        <v>517</v>
      </c>
      <c r="G39" s="311"/>
      <c r="H39" s="311"/>
      <c r="I39" s="312"/>
    </row>
    <row r="40" spans="2:9" ht="12.75">
      <c r="B40" s="7"/>
      <c r="C40" s="2" t="s">
        <v>515</v>
      </c>
      <c r="D40" s="183">
        <f>D38*D39/101325</f>
        <v>269.4650079758773</v>
      </c>
      <c r="E40" s="2" t="s">
        <v>485</v>
      </c>
      <c r="F40" s="310" t="s">
        <v>518</v>
      </c>
      <c r="G40" s="311"/>
      <c r="H40" s="311"/>
      <c r="I40" s="312"/>
    </row>
    <row r="41" spans="2:9" ht="12.75">
      <c r="B41" s="7"/>
      <c r="C41" s="3"/>
      <c r="D41" s="3"/>
      <c r="E41" s="3"/>
      <c r="F41" s="161"/>
      <c r="G41" s="161"/>
      <c r="H41" s="161"/>
      <c r="I41" s="267"/>
    </row>
    <row r="42" spans="2:9" ht="13.5" thickBot="1">
      <c r="B42" s="11"/>
      <c r="C42" s="12"/>
      <c r="D42" s="12"/>
      <c r="E42" s="12"/>
      <c r="F42" s="12"/>
      <c r="G42" s="12"/>
      <c r="H42" s="12"/>
      <c r="I42" s="13"/>
    </row>
  </sheetData>
  <mergeCells count="14">
    <mergeCell ref="F16:I16"/>
    <mergeCell ref="F17:I17"/>
    <mergeCell ref="F18:I18"/>
    <mergeCell ref="B3:I9"/>
    <mergeCell ref="H19:I19"/>
    <mergeCell ref="F20:I20"/>
    <mergeCell ref="F21:I21"/>
    <mergeCell ref="F22:I22"/>
    <mergeCell ref="F39:I39"/>
    <mergeCell ref="F40:I40"/>
    <mergeCell ref="B26:I30"/>
    <mergeCell ref="F36:I36"/>
    <mergeCell ref="F37:I37"/>
    <mergeCell ref="F38:I38"/>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2:M40"/>
  <sheetViews>
    <sheetView workbookViewId="0" topLeftCell="A1">
      <selection activeCell="E6" sqref="E6"/>
    </sheetView>
  </sheetViews>
  <sheetFormatPr defaultColWidth="9.140625" defaultRowHeight="12.75"/>
  <cols>
    <col min="1" max="1" width="4.57421875" style="0" customWidth="1"/>
    <col min="2" max="2" width="27.421875" style="0" bestFit="1" customWidth="1"/>
    <col min="6" max="6" width="4.28125" style="0" customWidth="1"/>
    <col min="7" max="7" width="4.421875" style="0" customWidth="1"/>
    <col min="8" max="8" width="31.140625" style="0" bestFit="1" customWidth="1"/>
    <col min="10" max="10" width="5.8515625" style="0" customWidth="1"/>
    <col min="13" max="13" width="2.7109375" style="0" customWidth="1"/>
  </cols>
  <sheetData>
    <row r="1" ht="13.5" thickBot="1"/>
    <row r="2" spans="2:13" ht="13.5" thickBot="1">
      <c r="B2" s="313" t="s">
        <v>121</v>
      </c>
      <c r="C2" s="314"/>
      <c r="D2" s="314"/>
      <c r="E2" s="314"/>
      <c r="F2" s="314"/>
      <c r="G2" s="314"/>
      <c r="H2" s="314"/>
      <c r="I2" s="314"/>
      <c r="J2" s="314"/>
      <c r="K2" s="314"/>
      <c r="L2" s="314"/>
      <c r="M2" s="315"/>
    </row>
    <row r="3" spans="2:13" ht="12.75">
      <c r="B3" s="136"/>
      <c r="C3" s="146"/>
      <c r="D3" s="146"/>
      <c r="E3" s="146"/>
      <c r="F3" s="146"/>
      <c r="G3" s="146"/>
      <c r="H3" s="146"/>
      <c r="I3" s="146"/>
      <c r="J3" s="146"/>
      <c r="K3" s="274"/>
      <c r="L3" s="49"/>
      <c r="M3" s="6"/>
    </row>
    <row r="4" spans="2:13" ht="12.75">
      <c r="B4" s="154" t="s">
        <v>122</v>
      </c>
      <c r="C4" s="128">
        <v>207</v>
      </c>
      <c r="D4" s="127" t="s">
        <v>77</v>
      </c>
      <c r="E4" s="3"/>
      <c r="F4" s="3"/>
      <c r="G4" s="127"/>
      <c r="H4" s="129" t="s">
        <v>123</v>
      </c>
      <c r="I4" s="142">
        <f>I6/1000</f>
        <v>2.976984736272296</v>
      </c>
      <c r="J4" s="3" t="s">
        <v>203</v>
      </c>
      <c r="K4" s="139"/>
      <c r="L4" s="19"/>
      <c r="M4" s="8"/>
    </row>
    <row r="5" spans="2:13" ht="12.75">
      <c r="B5" s="154" t="s">
        <v>125</v>
      </c>
      <c r="C5" s="128">
        <v>130</v>
      </c>
      <c r="D5" s="127" t="s">
        <v>126</v>
      </c>
      <c r="E5" s="3"/>
      <c r="F5" s="3"/>
      <c r="G5" s="127"/>
      <c r="H5" s="129"/>
      <c r="I5" s="127"/>
      <c r="J5" s="127"/>
      <c r="K5" s="127"/>
      <c r="L5" s="3"/>
      <c r="M5" s="8"/>
    </row>
    <row r="6" spans="2:13" ht="12.75">
      <c r="B6" s="65" t="s">
        <v>519</v>
      </c>
      <c r="C6" s="128">
        <v>1</v>
      </c>
      <c r="D6" s="3" t="s">
        <v>198</v>
      </c>
      <c r="E6" s="3"/>
      <c r="F6" s="3"/>
      <c r="G6" s="127"/>
      <c r="H6" s="129" t="s">
        <v>127</v>
      </c>
      <c r="I6" s="143">
        <f>(I15*C6)/3600+I21</f>
        <v>2976.984736272296</v>
      </c>
      <c r="J6" s="129" t="s">
        <v>128</v>
      </c>
      <c r="K6" s="127"/>
      <c r="L6" s="3"/>
      <c r="M6" s="8"/>
    </row>
    <row r="7" spans="2:13" ht="12.75">
      <c r="B7" s="52" t="s">
        <v>49</v>
      </c>
      <c r="C7" s="23">
        <v>5</v>
      </c>
      <c r="D7" s="3"/>
      <c r="E7" s="19"/>
      <c r="F7" s="3"/>
      <c r="G7" s="127"/>
      <c r="H7" s="129"/>
      <c r="I7" s="127"/>
      <c r="J7" s="133"/>
      <c r="K7" s="127"/>
      <c r="L7" s="3"/>
      <c r="M7" s="8"/>
    </row>
    <row r="8" spans="2:13" ht="12.75">
      <c r="B8" s="154" t="s">
        <v>129</v>
      </c>
      <c r="C8" s="214">
        <f>VLOOKUP(C7,'Tabelle termodinamiche'!L7:P21,5)</f>
        <v>1005</v>
      </c>
      <c r="D8" s="3" t="s">
        <v>19</v>
      </c>
      <c r="E8" s="3"/>
      <c r="F8" s="3"/>
      <c r="G8" s="127"/>
      <c r="H8" s="129" t="s">
        <v>130</v>
      </c>
      <c r="I8" s="144">
        <f>C10*C4/(C9*E20)</f>
        <v>249.43524132985112</v>
      </c>
      <c r="J8" s="129" t="s">
        <v>2</v>
      </c>
      <c r="K8" s="127"/>
      <c r="L8" s="3"/>
      <c r="M8" s="8"/>
    </row>
    <row r="9" spans="2:13" ht="12.75">
      <c r="B9" s="65" t="s">
        <v>213</v>
      </c>
      <c r="C9" s="215">
        <f>8314/VLOOKUP(C7,'Tabelle termodinamiche'!L7:P21,3)</f>
        <v>286.9865377977218</v>
      </c>
      <c r="D9" s="3" t="s">
        <v>19</v>
      </c>
      <c r="E9" s="3"/>
      <c r="F9" s="3"/>
      <c r="G9" s="127"/>
      <c r="H9" s="129"/>
      <c r="I9" s="139"/>
      <c r="J9" s="129"/>
      <c r="K9" s="127"/>
      <c r="L9" s="3"/>
      <c r="M9" s="8"/>
    </row>
    <row r="10" spans="2:13" ht="12.75">
      <c r="B10" s="154" t="s">
        <v>1</v>
      </c>
      <c r="C10" s="128">
        <v>101325</v>
      </c>
      <c r="D10" s="3" t="s">
        <v>6</v>
      </c>
      <c r="E10" s="3"/>
      <c r="F10" s="3"/>
      <c r="G10" s="127"/>
      <c r="H10" s="129"/>
      <c r="I10" s="127"/>
      <c r="J10" s="133"/>
      <c r="K10" s="127"/>
      <c r="L10" s="3"/>
      <c r="M10" s="8"/>
    </row>
    <row r="11" spans="2:13" ht="12.75">
      <c r="B11" s="148"/>
      <c r="C11" s="127"/>
      <c r="D11" s="127"/>
      <c r="E11" s="127"/>
      <c r="F11" s="127"/>
      <c r="G11" s="127"/>
      <c r="H11" s="129" t="s">
        <v>131</v>
      </c>
      <c r="I11" s="144">
        <f>C10*C4/(C9*E24)</f>
        <v>245.2500862739811</v>
      </c>
      <c r="J11" s="129" t="s">
        <v>2</v>
      </c>
      <c r="K11" s="127"/>
      <c r="L11" s="3"/>
      <c r="M11" s="8"/>
    </row>
    <row r="12" spans="2:13" ht="12.75">
      <c r="B12" s="154" t="s">
        <v>132</v>
      </c>
      <c r="C12" s="128">
        <v>3</v>
      </c>
      <c r="D12" s="127"/>
      <c r="E12" s="127"/>
      <c r="F12" s="127"/>
      <c r="G12" s="127"/>
      <c r="H12" s="129"/>
      <c r="I12" s="127"/>
      <c r="J12" s="127"/>
      <c r="K12" s="127"/>
      <c r="L12" s="3"/>
      <c r="M12" s="8"/>
    </row>
    <row r="13" spans="2:13" ht="12.75">
      <c r="B13" s="148"/>
      <c r="C13" s="127"/>
      <c r="D13" s="3"/>
      <c r="E13" s="3"/>
      <c r="F13" s="127"/>
      <c r="G13" s="127"/>
      <c r="H13" s="129"/>
      <c r="I13" s="127"/>
      <c r="J13" s="133"/>
      <c r="K13" s="127"/>
      <c r="L13" s="3"/>
      <c r="M13" s="8"/>
    </row>
    <row r="14" spans="2:13" ht="12.75">
      <c r="B14" s="154" t="s">
        <v>135</v>
      </c>
      <c r="C14" s="128">
        <v>1</v>
      </c>
      <c r="D14" s="3" t="s">
        <v>199</v>
      </c>
      <c r="E14" s="127"/>
      <c r="F14" s="127"/>
      <c r="G14" s="127"/>
      <c r="H14" s="129"/>
      <c r="I14" s="133"/>
      <c r="J14" s="133"/>
      <c r="K14" s="127"/>
      <c r="L14" s="3"/>
      <c r="M14" s="8"/>
    </row>
    <row r="15" spans="2:13" ht="12.75">
      <c r="B15" s="148"/>
      <c r="C15" s="127"/>
      <c r="D15" s="127"/>
      <c r="E15" s="127"/>
      <c r="F15" s="127"/>
      <c r="G15" s="127"/>
      <c r="H15" s="129" t="s">
        <v>133</v>
      </c>
      <c r="I15" s="130">
        <f>I11*C8*(E25-E24)</f>
        <v>3697145.050580265</v>
      </c>
      <c r="J15" s="129" t="s">
        <v>74</v>
      </c>
      <c r="K15" s="127"/>
      <c r="L15" s="3"/>
      <c r="M15" s="8"/>
    </row>
    <row r="16" spans="2:13" ht="12.75">
      <c r="B16" s="148"/>
      <c r="C16" s="127"/>
      <c r="D16" s="127"/>
      <c r="E16" s="133"/>
      <c r="F16" s="127"/>
      <c r="G16" s="127"/>
      <c r="H16" s="129"/>
      <c r="I16" s="133"/>
      <c r="J16" s="133"/>
      <c r="K16" s="127"/>
      <c r="L16" s="3"/>
      <c r="M16" s="8"/>
    </row>
    <row r="17" spans="2:13" ht="12.75">
      <c r="B17" s="148"/>
      <c r="C17" s="127"/>
      <c r="D17" s="127"/>
      <c r="E17" s="133"/>
      <c r="F17" s="127"/>
      <c r="G17" s="127"/>
      <c r="H17" s="129"/>
      <c r="I17" s="133"/>
      <c r="J17" s="133"/>
      <c r="K17" s="127"/>
      <c r="L17" s="3"/>
      <c r="M17" s="8"/>
    </row>
    <row r="18" spans="2:13" ht="12.75">
      <c r="B18" s="148"/>
      <c r="C18" s="3"/>
      <c r="D18" s="3"/>
      <c r="E18" s="3"/>
      <c r="F18" s="127"/>
      <c r="G18" s="127"/>
      <c r="H18" s="129" t="s">
        <v>134</v>
      </c>
      <c r="I18" s="130">
        <f>(E25-E24)/C14</f>
        <v>15</v>
      </c>
      <c r="J18" s="129" t="s">
        <v>128</v>
      </c>
      <c r="K18" s="127"/>
      <c r="L18" s="3"/>
      <c r="M18" s="8"/>
    </row>
    <row r="19" spans="2:13" ht="12.75">
      <c r="B19" s="7" t="s">
        <v>200</v>
      </c>
      <c r="C19" s="127"/>
      <c r="D19" s="140" t="s">
        <v>76</v>
      </c>
      <c r="E19" s="133" t="s">
        <v>0</v>
      </c>
      <c r="F19" s="127"/>
      <c r="G19" s="127"/>
      <c r="H19" s="129"/>
      <c r="I19" s="139"/>
      <c r="J19" s="129"/>
      <c r="K19" s="127"/>
      <c r="L19" s="3"/>
      <c r="M19" s="8"/>
    </row>
    <row r="20" spans="2:13" ht="12.75">
      <c r="B20" s="148" t="s">
        <v>138</v>
      </c>
      <c r="C20" s="133" t="s">
        <v>137</v>
      </c>
      <c r="D20" s="132">
        <v>20</v>
      </c>
      <c r="E20" s="131">
        <f>D20+273</f>
        <v>293</v>
      </c>
      <c r="F20" s="3"/>
      <c r="G20" s="3"/>
      <c r="H20" s="129"/>
      <c r="I20" s="127"/>
      <c r="J20" s="127"/>
      <c r="K20" s="127"/>
      <c r="L20" s="3"/>
      <c r="M20" s="8"/>
    </row>
    <row r="21" spans="2:13" ht="12.75">
      <c r="B21" s="148" t="s">
        <v>140</v>
      </c>
      <c r="C21" s="133" t="s">
        <v>139</v>
      </c>
      <c r="D21" s="128">
        <v>0</v>
      </c>
      <c r="E21" s="131">
        <f>D21+273</f>
        <v>273</v>
      </c>
      <c r="F21" s="3"/>
      <c r="G21" s="127"/>
      <c r="H21" s="129" t="s">
        <v>136</v>
      </c>
      <c r="I21" s="130">
        <f>C5*I18</f>
        <v>1950</v>
      </c>
      <c r="J21" s="129" t="s">
        <v>128</v>
      </c>
      <c r="K21" s="127"/>
      <c r="L21" s="3"/>
      <c r="M21" s="8"/>
    </row>
    <row r="22" spans="2:13" ht="12.75">
      <c r="B22" s="148"/>
      <c r="C22" s="127"/>
      <c r="D22" s="127"/>
      <c r="E22" s="127"/>
      <c r="F22" s="127"/>
      <c r="G22" s="127"/>
      <c r="H22" s="127"/>
      <c r="I22" s="127"/>
      <c r="J22" s="127"/>
      <c r="K22" s="127"/>
      <c r="L22" s="3"/>
      <c r="M22" s="8"/>
    </row>
    <row r="23" spans="2:13" ht="12.75">
      <c r="B23" s="7" t="s">
        <v>201</v>
      </c>
      <c r="C23" s="127"/>
      <c r="D23" s="140" t="s">
        <v>76</v>
      </c>
      <c r="E23" s="133" t="s">
        <v>0</v>
      </c>
      <c r="F23" s="127"/>
      <c r="G23" s="127"/>
      <c r="H23" s="127"/>
      <c r="I23" s="127"/>
      <c r="J23" s="127"/>
      <c r="K23" s="127"/>
      <c r="L23" s="127"/>
      <c r="M23" s="151"/>
    </row>
    <row r="24" spans="2:13" ht="12.75">
      <c r="B24" s="148" t="s">
        <v>141</v>
      </c>
      <c r="C24" s="133" t="s">
        <v>137</v>
      </c>
      <c r="D24" s="132">
        <v>25</v>
      </c>
      <c r="E24" s="131">
        <f>D24+273</f>
        <v>298</v>
      </c>
      <c r="F24" s="3"/>
      <c r="G24" s="127"/>
      <c r="H24" s="127"/>
      <c r="I24" s="127"/>
      <c r="J24" s="127"/>
      <c r="K24" s="127"/>
      <c r="L24" s="127"/>
      <c r="M24" s="151"/>
    </row>
    <row r="25" spans="2:13" ht="12.75">
      <c r="B25" s="148" t="s">
        <v>142</v>
      </c>
      <c r="C25" s="133" t="s">
        <v>139</v>
      </c>
      <c r="D25" s="132">
        <v>40</v>
      </c>
      <c r="E25" s="131">
        <f>D25+273</f>
        <v>313</v>
      </c>
      <c r="F25" s="3"/>
      <c r="G25" s="127"/>
      <c r="H25" s="127"/>
      <c r="I25" s="127"/>
      <c r="J25" s="127"/>
      <c r="K25" s="127"/>
      <c r="L25" s="127"/>
      <c r="M25" s="151"/>
    </row>
    <row r="26" spans="2:13" ht="12.75">
      <c r="B26" s="7"/>
      <c r="C26" s="3"/>
      <c r="D26" s="3"/>
      <c r="E26" s="3"/>
      <c r="F26" s="3"/>
      <c r="G26" s="127"/>
      <c r="H26" s="127"/>
      <c r="I26" s="127"/>
      <c r="J26" s="127"/>
      <c r="K26" s="127"/>
      <c r="L26" s="127"/>
      <c r="M26" s="151"/>
    </row>
    <row r="27" spans="2:13" ht="12.75">
      <c r="B27" s="7"/>
      <c r="C27" s="3"/>
      <c r="D27" s="140" t="s">
        <v>76</v>
      </c>
      <c r="E27" s="133" t="s">
        <v>0</v>
      </c>
      <c r="F27" s="3"/>
      <c r="G27" s="127"/>
      <c r="H27" s="127"/>
      <c r="I27" s="127"/>
      <c r="J27" s="127"/>
      <c r="K27" s="127"/>
      <c r="L27" s="127"/>
      <c r="M27" s="151"/>
    </row>
    <row r="28" spans="2:13" ht="12.75">
      <c r="B28" s="65" t="s">
        <v>202</v>
      </c>
      <c r="C28" s="3"/>
      <c r="D28" s="141">
        <f>E28-273</f>
        <v>-48.69964776012989</v>
      </c>
      <c r="E28" s="142">
        <f>E20-(I6*C12*C14)/C5</f>
        <v>224.3003522398701</v>
      </c>
      <c r="F28" s="3"/>
      <c r="G28" s="127"/>
      <c r="H28" s="127"/>
      <c r="I28" s="127"/>
      <c r="J28" s="127"/>
      <c r="K28" s="127"/>
      <c r="L28" s="127"/>
      <c r="M28" s="151"/>
    </row>
    <row r="29" spans="2:13" ht="18" customHeight="1" thickBot="1">
      <c r="B29" s="11"/>
      <c r="C29" s="12"/>
      <c r="D29" s="12"/>
      <c r="E29" s="12"/>
      <c r="F29" s="12"/>
      <c r="G29" s="156"/>
      <c r="H29" s="156"/>
      <c r="I29" s="156"/>
      <c r="J29" s="156"/>
      <c r="K29" s="156"/>
      <c r="L29" s="156"/>
      <c r="M29" s="275"/>
    </row>
    <row r="30" spans="7:13" ht="13.5" thickBot="1">
      <c r="G30" s="134"/>
      <c r="H30" s="134"/>
      <c r="I30" s="134"/>
      <c r="J30" s="134"/>
      <c r="K30" s="134"/>
      <c r="L30" s="135"/>
      <c r="M30" s="134"/>
    </row>
    <row r="31" spans="2:13" ht="13.5" thickBot="1">
      <c r="B31" s="316" t="s">
        <v>143</v>
      </c>
      <c r="C31" s="317"/>
      <c r="D31" s="317"/>
      <c r="E31" s="318"/>
      <c r="F31" s="316" t="s">
        <v>144</v>
      </c>
      <c r="G31" s="317"/>
      <c r="H31" s="318"/>
      <c r="I31" s="134"/>
      <c r="J31" s="134"/>
      <c r="K31" s="134"/>
      <c r="L31" s="134"/>
      <c r="M31" s="134"/>
    </row>
    <row r="32" spans="2:13" ht="12.75">
      <c r="B32" s="319"/>
      <c r="C32" s="320"/>
      <c r="D32" s="320"/>
      <c r="E32" s="321"/>
      <c r="F32" s="319"/>
      <c r="G32" s="320"/>
      <c r="H32" s="321"/>
      <c r="I32" s="134"/>
      <c r="J32" s="134"/>
      <c r="K32" s="134"/>
      <c r="L32" s="134"/>
      <c r="M32" s="134"/>
    </row>
    <row r="33" spans="2:8" ht="12.75">
      <c r="B33" s="322"/>
      <c r="C33" s="323"/>
      <c r="D33" s="323"/>
      <c r="E33" s="324"/>
      <c r="F33" s="322"/>
      <c r="G33" s="323"/>
      <c r="H33" s="324"/>
    </row>
    <row r="34" spans="2:8" ht="12.75">
      <c r="B34" s="322"/>
      <c r="C34" s="323"/>
      <c r="D34" s="323"/>
      <c r="E34" s="324"/>
      <c r="F34" s="322"/>
      <c r="G34" s="323"/>
      <c r="H34" s="324"/>
    </row>
    <row r="35" spans="2:8" ht="12.75">
      <c r="B35" s="322"/>
      <c r="C35" s="323"/>
      <c r="D35" s="323"/>
      <c r="E35" s="324"/>
      <c r="F35" s="322"/>
      <c r="G35" s="323"/>
      <c r="H35" s="324"/>
    </row>
    <row r="36" spans="2:8" ht="12.75">
      <c r="B36" s="322"/>
      <c r="C36" s="323"/>
      <c r="D36" s="323"/>
      <c r="E36" s="324"/>
      <c r="F36" s="322"/>
      <c r="G36" s="323"/>
      <c r="H36" s="324"/>
    </row>
    <row r="37" spans="2:8" ht="12.75">
      <c r="B37" s="322"/>
      <c r="C37" s="323"/>
      <c r="D37" s="323"/>
      <c r="E37" s="324"/>
      <c r="F37" s="322"/>
      <c r="G37" s="323"/>
      <c r="H37" s="324"/>
    </row>
    <row r="38" spans="2:8" ht="12.75">
      <c r="B38" s="322"/>
      <c r="C38" s="323"/>
      <c r="D38" s="323"/>
      <c r="E38" s="324"/>
      <c r="F38" s="322"/>
      <c r="G38" s="323"/>
      <c r="H38" s="324"/>
    </row>
    <row r="39" spans="2:8" ht="12.75">
      <c r="B39" s="322"/>
      <c r="C39" s="323"/>
      <c r="D39" s="323"/>
      <c r="E39" s="324"/>
      <c r="F39" s="322"/>
      <c r="G39" s="323"/>
      <c r="H39" s="324"/>
    </row>
    <row r="40" spans="2:8" ht="13.5" thickBot="1">
      <c r="B40" s="325"/>
      <c r="C40" s="326"/>
      <c r="D40" s="326"/>
      <c r="E40" s="327"/>
      <c r="F40" s="325"/>
      <c r="G40" s="326"/>
      <c r="H40" s="327"/>
    </row>
  </sheetData>
  <mergeCells count="5">
    <mergeCell ref="B2:M2"/>
    <mergeCell ref="F31:H31"/>
    <mergeCell ref="B31:E31"/>
    <mergeCell ref="B32:E40"/>
    <mergeCell ref="F32:H40"/>
  </mergeCells>
  <printOptions/>
  <pageMargins left="0.75" right="0.75" top="1" bottom="1" header="0.5" footer="0.5"/>
  <pageSetup orientation="portrait" paperSize="9" r:id="rId6"/>
  <drawing r:id="rId5"/>
  <legacyDrawing r:id="rId4"/>
  <oleObjects>
    <oleObject progId="MathType 5.0 Equation" shapeId="136954" r:id="rId2"/>
    <oleObject progId="MathType 5.0 Equation" shapeId="136955" r:id="rId3"/>
  </oleObjects>
</worksheet>
</file>

<file path=xl/worksheets/sheet9.xml><?xml version="1.0" encoding="utf-8"?>
<worksheet xmlns="http://schemas.openxmlformats.org/spreadsheetml/2006/main" xmlns:r="http://schemas.openxmlformats.org/officeDocument/2006/relationships">
  <dimension ref="B2:I40"/>
  <sheetViews>
    <sheetView workbookViewId="0" topLeftCell="A1">
      <selection activeCell="E32" sqref="E32"/>
    </sheetView>
  </sheetViews>
  <sheetFormatPr defaultColWidth="9.140625" defaultRowHeight="12.75"/>
  <cols>
    <col min="4" max="4" width="38.00390625" style="0" bestFit="1" customWidth="1"/>
  </cols>
  <sheetData>
    <row r="1" ht="13.5" thickBot="1"/>
    <row r="2" spans="2:8" ht="12.75">
      <c r="B2" s="328" t="s">
        <v>296</v>
      </c>
      <c r="C2" s="329"/>
      <c r="D2" s="329"/>
      <c r="E2" s="329"/>
      <c r="F2" s="329"/>
      <c r="G2" s="329"/>
      <c r="H2" s="330"/>
    </row>
    <row r="3" spans="2:8" ht="12.75" customHeight="1">
      <c r="B3" s="331"/>
      <c r="C3" s="332"/>
      <c r="D3" s="332"/>
      <c r="E3" s="332"/>
      <c r="F3" s="332"/>
      <c r="G3" s="332"/>
      <c r="H3" s="333"/>
    </row>
    <row r="4" spans="2:8" ht="12.75">
      <c r="B4" s="331"/>
      <c r="C4" s="332"/>
      <c r="D4" s="332"/>
      <c r="E4" s="332"/>
      <c r="F4" s="332"/>
      <c r="G4" s="332"/>
      <c r="H4" s="333"/>
    </row>
    <row r="5" spans="2:8" ht="12.75">
      <c r="B5" s="331"/>
      <c r="C5" s="332"/>
      <c r="D5" s="332"/>
      <c r="E5" s="332"/>
      <c r="F5" s="332"/>
      <c r="G5" s="332"/>
      <c r="H5" s="333"/>
    </row>
    <row r="6" spans="2:8" ht="12.75">
      <c r="B6" s="331"/>
      <c r="C6" s="332"/>
      <c r="D6" s="332"/>
      <c r="E6" s="332"/>
      <c r="F6" s="332"/>
      <c r="G6" s="332"/>
      <c r="H6" s="333"/>
    </row>
    <row r="7" spans="2:8" ht="13.5" thickBot="1">
      <c r="B7" s="334"/>
      <c r="C7" s="335"/>
      <c r="D7" s="335"/>
      <c r="E7" s="335"/>
      <c r="F7" s="335"/>
      <c r="G7" s="335"/>
      <c r="H7" s="336"/>
    </row>
    <row r="8" spans="2:8" ht="12.75">
      <c r="B8" s="200"/>
      <c r="C8" s="201"/>
      <c r="D8" s="201"/>
      <c r="E8" s="201"/>
      <c r="F8" s="201"/>
      <c r="G8" s="201"/>
      <c r="H8" s="202"/>
    </row>
    <row r="9" spans="2:8" ht="12.75">
      <c r="B9" s="7"/>
      <c r="C9" s="3"/>
      <c r="D9" s="2" t="s">
        <v>145</v>
      </c>
      <c r="E9" s="163">
        <v>20</v>
      </c>
      <c r="F9" s="2" t="s">
        <v>76</v>
      </c>
      <c r="G9" s="3"/>
      <c r="H9" s="8"/>
    </row>
    <row r="10" spans="2:8" ht="12.75">
      <c r="B10" s="7"/>
      <c r="C10" s="3"/>
      <c r="D10" s="2" t="s">
        <v>146</v>
      </c>
      <c r="E10" s="163">
        <v>65</v>
      </c>
      <c r="F10" s="2" t="s">
        <v>76</v>
      </c>
      <c r="G10" s="3"/>
      <c r="H10" s="8"/>
    </row>
    <row r="11" spans="2:8" ht="12.75">
      <c r="B11" s="7"/>
      <c r="C11" s="3"/>
      <c r="D11" s="198" t="s">
        <v>282</v>
      </c>
      <c r="E11" s="199">
        <v>50</v>
      </c>
      <c r="F11" s="198" t="s">
        <v>271</v>
      </c>
      <c r="G11" s="3"/>
      <c r="H11" s="8"/>
    </row>
    <row r="12" spans="2:8" ht="12.75">
      <c r="B12" s="7"/>
      <c r="C12" s="3"/>
      <c r="D12" s="2" t="s">
        <v>281</v>
      </c>
      <c r="E12" s="163">
        <v>100</v>
      </c>
      <c r="F12" s="2" t="s">
        <v>271</v>
      </c>
      <c r="G12" s="3"/>
      <c r="H12" s="8"/>
    </row>
    <row r="13" spans="2:8" ht="12.75">
      <c r="B13" s="7"/>
      <c r="C13" s="3"/>
      <c r="D13" s="180" t="s">
        <v>272</v>
      </c>
      <c r="E13" s="163">
        <v>36</v>
      </c>
      <c r="F13" s="180" t="s">
        <v>87</v>
      </c>
      <c r="G13" s="3"/>
      <c r="H13" s="8"/>
    </row>
    <row r="14" spans="2:8" ht="12.75">
      <c r="B14" s="7"/>
      <c r="C14" s="3"/>
      <c r="D14" s="180" t="s">
        <v>273</v>
      </c>
      <c r="E14" s="163">
        <v>54</v>
      </c>
      <c r="F14" s="180" t="s">
        <v>87</v>
      </c>
      <c r="G14" s="3"/>
      <c r="H14" s="8"/>
    </row>
    <row r="15" spans="2:8" ht="12.75">
      <c r="B15" s="7"/>
      <c r="C15" s="3"/>
      <c r="D15" s="2" t="s">
        <v>275</v>
      </c>
      <c r="E15" s="185">
        <f>VLOOKUP(E9,'Tabelle termodinamiche'!B6:J754,2)</f>
        <v>0.023389</v>
      </c>
      <c r="F15" s="2" t="s">
        <v>7</v>
      </c>
      <c r="G15" s="3"/>
      <c r="H15" s="8"/>
    </row>
    <row r="16" spans="2:8" ht="12.75">
      <c r="B16" s="7"/>
      <c r="C16" s="3"/>
      <c r="D16" s="2" t="s">
        <v>274</v>
      </c>
      <c r="E16" s="185">
        <f>VLOOKUP(E10,'Tabelle termodinamiche'!B6:J754,2)</f>
        <v>0.250397</v>
      </c>
      <c r="F16" s="2" t="s">
        <v>7</v>
      </c>
      <c r="G16" s="3"/>
      <c r="H16" s="8"/>
    </row>
    <row r="17" spans="2:8" ht="12.75">
      <c r="B17" s="7"/>
      <c r="C17" s="3"/>
      <c r="D17" s="2" t="s">
        <v>276</v>
      </c>
      <c r="E17" s="197">
        <f>1-((E11%)*E15)</f>
        <v>0.9883055</v>
      </c>
      <c r="F17" s="2" t="s">
        <v>7</v>
      </c>
      <c r="G17" s="3"/>
      <c r="H17" s="8"/>
    </row>
    <row r="18" spans="2:8" ht="12.75">
      <c r="B18" s="7"/>
      <c r="C18" s="3"/>
      <c r="D18" s="2" t="s">
        <v>277</v>
      </c>
      <c r="E18" s="197">
        <f>1-((E12%)*E16)</f>
        <v>0.749603</v>
      </c>
      <c r="F18" s="2" t="s">
        <v>7</v>
      </c>
      <c r="G18" s="3"/>
      <c r="H18" s="8"/>
    </row>
    <row r="19" spans="2:8" ht="12.75">
      <c r="B19" s="7"/>
      <c r="C19" s="3"/>
      <c r="D19" s="2" t="s">
        <v>278</v>
      </c>
      <c r="E19" s="183">
        <f>(E17*100000*E13)/((8314/'Tabelle termodinamiche'!N11)*(E9+273))</f>
        <v>42.31209876100266</v>
      </c>
      <c r="F19" s="2" t="s">
        <v>2</v>
      </c>
      <c r="G19" s="3"/>
      <c r="H19" s="8"/>
    </row>
    <row r="20" spans="2:8" ht="12.75">
      <c r="B20" s="7"/>
      <c r="C20" s="3"/>
      <c r="D20" s="2" t="s">
        <v>279</v>
      </c>
      <c r="E20" s="183">
        <f>(E18*100000*E14)/((8314/'Tabelle termodinamiche'!N11)*(E10+273))</f>
        <v>41.729852588419334</v>
      </c>
      <c r="F20" s="2" t="s">
        <v>2</v>
      </c>
      <c r="G20" s="3"/>
      <c r="H20" s="8"/>
    </row>
    <row r="21" spans="2:8" ht="12.75">
      <c r="B21" s="7"/>
      <c r="C21" s="3"/>
      <c r="D21" s="2" t="s">
        <v>280</v>
      </c>
      <c r="E21" s="183">
        <f>E19+E20</f>
        <v>84.04195134942199</v>
      </c>
      <c r="F21" s="2" t="s">
        <v>2</v>
      </c>
      <c r="G21" s="3"/>
      <c r="H21" s="8"/>
    </row>
    <row r="22" spans="2:8" ht="12.75">
      <c r="B22" s="7"/>
      <c r="C22" s="3"/>
      <c r="D22" s="2" t="s">
        <v>29</v>
      </c>
      <c r="E22" s="185">
        <f>0.622*((E11%)*E15)/(1-(E11%)*E15)</f>
        <v>0.007360051117797078</v>
      </c>
      <c r="F22" s="2" t="s">
        <v>40</v>
      </c>
      <c r="G22" s="3"/>
      <c r="H22" s="8"/>
    </row>
    <row r="23" spans="2:8" ht="12.75">
      <c r="B23" s="7"/>
      <c r="C23" s="3"/>
      <c r="D23" s="2" t="s">
        <v>30</v>
      </c>
      <c r="E23" s="185">
        <f>0.622*((E12%)*E16)/(1-(E12%)*E16)</f>
        <v>0.20777255960821925</v>
      </c>
      <c r="F23" s="2" t="s">
        <v>40</v>
      </c>
      <c r="G23" s="3"/>
      <c r="H23" s="8"/>
    </row>
    <row r="24" spans="2:8" ht="12.75">
      <c r="B24" s="7"/>
      <c r="C24" s="3"/>
      <c r="D24" s="2" t="s">
        <v>287</v>
      </c>
      <c r="E24" s="183">
        <f>E9+(E22*(2500+(1.9*E9)))</f>
        <v>38.679809736968984</v>
      </c>
      <c r="F24" s="2" t="s">
        <v>41</v>
      </c>
      <c r="G24" s="3"/>
      <c r="H24" s="8"/>
    </row>
    <row r="25" spans="2:8" ht="12.75">
      <c r="B25" s="7"/>
      <c r="C25" s="3"/>
      <c r="D25" s="2" t="s">
        <v>288</v>
      </c>
      <c r="E25" s="183">
        <f>E10+(E23*(2500+(1.9*E10)))</f>
        <v>610.0913101321632</v>
      </c>
      <c r="F25" s="2" t="s">
        <v>41</v>
      </c>
      <c r="G25" s="3"/>
      <c r="H25" s="8"/>
    </row>
    <row r="26" spans="2:8" ht="12.75">
      <c r="B26" s="7"/>
      <c r="C26" s="3"/>
      <c r="D26" s="2" t="s">
        <v>283</v>
      </c>
      <c r="E26" s="197">
        <f>((E19*E22)+(E20*E23))/E21</f>
        <v>0.10687207222031726</v>
      </c>
      <c r="F26" s="2" t="s">
        <v>40</v>
      </c>
      <c r="G26" s="3"/>
      <c r="H26" s="8"/>
    </row>
    <row r="27" spans="2:8" ht="12.75">
      <c r="B27" s="7"/>
      <c r="C27" s="3"/>
      <c r="D27" s="2" t="s">
        <v>286</v>
      </c>
      <c r="E27" s="183">
        <f>((E19*E24)+(E20*E25))/E21</f>
        <v>322.4061784843906</v>
      </c>
      <c r="F27" s="2" t="s">
        <v>41</v>
      </c>
      <c r="G27" s="3"/>
      <c r="H27" s="8"/>
    </row>
    <row r="28" spans="2:8" ht="12.75">
      <c r="B28" s="7"/>
      <c r="C28" s="3"/>
      <c r="D28" s="2" t="s">
        <v>303</v>
      </c>
      <c r="E28" s="183">
        <f>(E27-2500*E26)/(1+1.9*E26)</f>
        <v>45.9047250592118</v>
      </c>
      <c r="F28" s="2" t="s">
        <v>76</v>
      </c>
      <c r="G28" s="3"/>
      <c r="H28" s="8"/>
    </row>
    <row r="29" spans="2:8" ht="12.75">
      <c r="B29" s="7"/>
      <c r="C29" s="3"/>
      <c r="D29" s="2" t="s">
        <v>302</v>
      </c>
      <c r="E29" s="185">
        <f>VLOOKUP(E28,'Tabelle termodinamiche'!B6:J754,2)</f>
        <v>0.0984585</v>
      </c>
      <c r="F29" s="2" t="s">
        <v>7</v>
      </c>
      <c r="G29" s="3"/>
      <c r="H29" s="8"/>
    </row>
    <row r="30" spans="2:8" ht="12.75">
      <c r="B30" s="7"/>
      <c r="C30" s="3"/>
      <c r="D30" s="2" t="s">
        <v>284</v>
      </c>
      <c r="E30" s="185">
        <f>0.622*((100%)*E29)/(1-(100%)*E29)</f>
        <v>0.06792941534028106</v>
      </c>
      <c r="F30" s="2" t="s">
        <v>40</v>
      </c>
      <c r="G30" s="3"/>
      <c r="H30" s="8"/>
    </row>
    <row r="31" spans="2:8" ht="12.75">
      <c r="B31" s="7"/>
      <c r="C31" s="3"/>
      <c r="D31" s="2" t="s">
        <v>301</v>
      </c>
      <c r="E31" s="183">
        <f>100*(E26/(E29*(0.622+E26)))</f>
        <v>148.9222898308617</v>
      </c>
      <c r="F31" s="2" t="s">
        <v>271</v>
      </c>
      <c r="G31" s="3"/>
      <c r="H31" s="8"/>
    </row>
    <row r="32" spans="2:8" ht="12.75">
      <c r="B32" s="7"/>
      <c r="C32" s="3"/>
      <c r="D32" s="2" t="s">
        <v>285</v>
      </c>
      <c r="E32" s="183">
        <f>((E19*E22)+(E20*E23))-(E21*E30)</f>
        <v>3.2728168749292363</v>
      </c>
      <c r="F32" s="2" t="s">
        <v>2</v>
      </c>
      <c r="G32" s="3"/>
      <c r="H32" s="8"/>
    </row>
    <row r="33" spans="2:8" ht="13.5" thickBot="1">
      <c r="B33" s="11"/>
      <c r="C33" s="12"/>
      <c r="D33" s="12"/>
      <c r="E33" s="12"/>
      <c r="F33" s="12"/>
      <c r="G33" s="12"/>
      <c r="H33" s="13"/>
    </row>
    <row r="34" spans="2:9" ht="13.5" thickBot="1">
      <c r="B34" s="3"/>
      <c r="C34" s="3"/>
      <c r="D34" s="3"/>
      <c r="E34" s="3"/>
      <c r="F34" s="3"/>
      <c r="G34" s="3"/>
      <c r="H34" s="3"/>
      <c r="I34" s="3"/>
    </row>
    <row r="35" spans="2:8" ht="13.5" thickBot="1">
      <c r="B35" s="278" t="s">
        <v>297</v>
      </c>
      <c r="C35" s="279"/>
      <c r="D35" s="279"/>
      <c r="E35" s="279"/>
      <c r="F35" s="279"/>
      <c r="G35" s="279"/>
      <c r="H35" s="280"/>
    </row>
    <row r="36" spans="2:8" ht="12.75">
      <c r="B36" s="4"/>
      <c r="C36" s="5"/>
      <c r="D36" s="5"/>
      <c r="E36" s="5"/>
      <c r="F36" s="5"/>
      <c r="G36" s="5"/>
      <c r="H36" s="6"/>
    </row>
    <row r="37" spans="2:8" ht="12.75">
      <c r="B37" s="7"/>
      <c r="C37" s="3"/>
      <c r="D37" s="2" t="s">
        <v>298</v>
      </c>
      <c r="E37" s="185">
        <f>E11%*E15</f>
        <v>0.0116945</v>
      </c>
      <c r="F37" s="2" t="s">
        <v>7</v>
      </c>
      <c r="G37" s="3"/>
      <c r="H37" s="8"/>
    </row>
    <row r="38" spans="2:8" ht="12.75">
      <c r="B38" s="7"/>
      <c r="C38" s="3"/>
      <c r="D38" s="2" t="s">
        <v>299</v>
      </c>
      <c r="E38" s="185">
        <f>E12%*E16</f>
        <v>0.250397</v>
      </c>
      <c r="F38" s="2" t="s">
        <v>7</v>
      </c>
      <c r="G38" s="3"/>
      <c r="H38" s="8"/>
    </row>
    <row r="39" spans="2:8" ht="12.75">
      <c r="B39" s="7"/>
      <c r="C39" s="3"/>
      <c r="D39" s="2" t="s">
        <v>300</v>
      </c>
      <c r="E39" s="185">
        <f>E31%*E29</f>
        <v>0.14662665273311898</v>
      </c>
      <c r="F39" s="2" t="s">
        <v>7</v>
      </c>
      <c r="G39" s="3"/>
      <c r="H39" s="8"/>
    </row>
    <row r="40" spans="2:8" ht="13.5" thickBot="1">
      <c r="B40" s="11"/>
      <c r="C40" s="12"/>
      <c r="D40" s="12"/>
      <c r="E40" s="12"/>
      <c r="F40" s="12"/>
      <c r="G40" s="12"/>
      <c r="H40" s="13"/>
    </row>
  </sheetData>
  <mergeCells count="2">
    <mergeCell ref="B2:H7"/>
    <mergeCell ref="B35:H35"/>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Matteo/Jerlo/Bicchio/Michael/Mirya UNIPR</dc:creator>
  <cp:keywords/>
  <dc:description/>
  <cp:lastModifiedBy>Matteo</cp:lastModifiedBy>
  <dcterms:created xsi:type="dcterms:W3CDTF">2005-02-22T17:07:40Z</dcterms:created>
  <dcterms:modified xsi:type="dcterms:W3CDTF">2006-11-24T18:29:34Z</dcterms:modified>
  <cp:category/>
  <cp:version/>
  <cp:contentType/>
  <cp:contentStatus/>
</cp:coreProperties>
</file>