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9720" tabRatio="737" activeTab="0"/>
  </bookViews>
  <sheets>
    <sheet name="Autori" sheetId="1" r:id="rId1"/>
    <sheet name="Acustica" sheetId="2" r:id="rId2"/>
    <sheet name="Locale (Lp + pannelli)" sheetId="3" r:id="rId3"/>
    <sheet name="Materiale fonoassorbente" sheetId="4" r:id="rId4"/>
    <sheet name="Camera riverb.- semiriverb." sheetId="5" r:id="rId5"/>
    <sheet name="Pareti" sheetId="6" r:id="rId6"/>
    <sheet name="Sorgente incoerente" sheetId="7" r:id="rId7"/>
    <sheet name="Tabelle acustica" sheetId="8" r:id="rId8"/>
  </sheets>
  <definedNames/>
  <calcPr fullCalcOnLoad="1"/>
</workbook>
</file>

<file path=xl/comments2.xml><?xml version="1.0" encoding="utf-8"?>
<comments xmlns="http://schemas.openxmlformats.org/spreadsheetml/2006/main">
  <authors>
    <author>jerlo</author>
  </authors>
  <commentList>
    <comment ref="A10" authorId="0">
      <text>
        <r>
          <rPr>
            <b/>
            <sz val="8"/>
            <rFont val="Tahoma"/>
            <family val="0"/>
          </rPr>
          <t>jerlo:</t>
        </r>
        <r>
          <rPr>
            <sz val="8"/>
            <rFont val="Tahoma"/>
            <family val="0"/>
          </rPr>
          <t xml:space="preserve">
Valore di q=2 se il è riflettente</t>
        </r>
      </text>
    </comment>
    <comment ref="A61" authorId="0">
      <text>
        <r>
          <rPr>
            <b/>
            <sz val="8"/>
            <rFont val="Tahoma"/>
            <family val="0"/>
          </rPr>
          <t>jerlo:</t>
        </r>
        <r>
          <rPr>
            <sz val="8"/>
            <rFont val="Tahoma"/>
            <family val="0"/>
          </rPr>
          <t xml:space="preserve">
Se </t>
        </r>
        <r>
          <rPr>
            <sz val="8"/>
            <rFont val="Arial"/>
            <family val="2"/>
          </rPr>
          <t>τ</t>
        </r>
        <r>
          <rPr>
            <sz val="8"/>
            <rFont val="Tahoma"/>
            <family val="0"/>
          </rPr>
          <t xml:space="preserve">ACF &gt; </t>
        </r>
        <r>
          <rPr>
            <sz val="8"/>
            <rFont val="Arial"/>
            <family val="2"/>
          </rPr>
          <t>Δ</t>
        </r>
        <r>
          <rPr>
            <sz val="8"/>
            <rFont val="Tahoma"/>
            <family val="0"/>
          </rPr>
          <t>t la sorgente è incoerente</t>
        </r>
      </text>
    </comment>
    <comment ref="A62" authorId="0">
      <text>
        <r>
          <rPr>
            <b/>
            <sz val="8"/>
            <rFont val="Tahoma"/>
            <family val="0"/>
          </rPr>
          <t>jerlo:</t>
        </r>
        <r>
          <rPr>
            <sz val="8"/>
            <rFont val="Tahoma"/>
            <family val="0"/>
          </rPr>
          <t xml:space="preserve">
Se </t>
        </r>
        <r>
          <rPr>
            <sz val="8"/>
            <rFont val="Arial"/>
            <family val="2"/>
          </rPr>
          <t>τ</t>
        </r>
        <r>
          <rPr>
            <sz val="8"/>
            <rFont val="Tahoma"/>
            <family val="0"/>
          </rPr>
          <t xml:space="preserve">ACF &lt; </t>
        </r>
        <r>
          <rPr>
            <sz val="8"/>
            <rFont val="Arial"/>
            <family val="2"/>
          </rPr>
          <t>Δ</t>
        </r>
        <r>
          <rPr>
            <sz val="8"/>
            <rFont val="Tahoma"/>
            <family val="0"/>
          </rPr>
          <t>t si possono avere interferenze sia costruttive sia distruttive</t>
        </r>
      </text>
    </comment>
    <comment ref="A93" authorId="0">
      <text>
        <r>
          <rPr>
            <b/>
            <sz val="8"/>
            <rFont val="Tahoma"/>
            <family val="0"/>
          </rPr>
          <t>jerlo:</t>
        </r>
        <r>
          <rPr>
            <sz val="8"/>
            <rFont val="Tahoma"/>
            <family val="0"/>
          </rPr>
          <t xml:space="preserve">
Se </t>
        </r>
        <r>
          <rPr>
            <sz val="8"/>
            <rFont val="Arial"/>
            <family val="2"/>
          </rPr>
          <t>τ</t>
        </r>
        <r>
          <rPr>
            <sz val="8"/>
            <rFont val="Tahoma"/>
            <family val="0"/>
          </rPr>
          <t xml:space="preserve">ACF &gt; </t>
        </r>
        <r>
          <rPr>
            <sz val="8"/>
            <rFont val="Arial"/>
            <family val="2"/>
          </rPr>
          <t>Δ</t>
        </r>
        <r>
          <rPr>
            <sz val="8"/>
            <rFont val="Tahoma"/>
            <family val="0"/>
          </rPr>
          <t>t la sorgente è incoerente</t>
        </r>
      </text>
    </comment>
    <comment ref="A94" authorId="0">
      <text>
        <r>
          <rPr>
            <b/>
            <sz val="8"/>
            <rFont val="Tahoma"/>
            <family val="0"/>
          </rPr>
          <t>jerlo:</t>
        </r>
        <r>
          <rPr>
            <sz val="8"/>
            <rFont val="Tahoma"/>
            <family val="0"/>
          </rPr>
          <t xml:space="preserve">
Se </t>
        </r>
        <r>
          <rPr>
            <sz val="8"/>
            <rFont val="Arial"/>
            <family val="2"/>
          </rPr>
          <t>τ</t>
        </r>
        <r>
          <rPr>
            <sz val="8"/>
            <rFont val="Tahoma"/>
            <family val="0"/>
          </rPr>
          <t xml:space="preserve">ACF &lt; </t>
        </r>
        <r>
          <rPr>
            <sz val="8"/>
            <rFont val="Arial"/>
            <family val="2"/>
          </rPr>
          <t>Δ</t>
        </r>
        <r>
          <rPr>
            <sz val="8"/>
            <rFont val="Tahoma"/>
            <family val="0"/>
          </rPr>
          <t>t si possono avere interferenze sia costruttive sia distruttive</t>
        </r>
      </text>
    </comment>
  </commentList>
</comments>
</file>

<file path=xl/comments4.xml><?xml version="1.0" encoding="utf-8"?>
<comments xmlns="http://schemas.openxmlformats.org/spreadsheetml/2006/main">
  <authors>
    <author>jerlo</author>
  </authors>
  <commentList>
    <comment ref="B10" authorId="0">
      <text>
        <r>
          <rPr>
            <b/>
            <sz val="8"/>
            <rFont val="Tahoma"/>
            <family val="0"/>
          </rPr>
          <t>jerlo:</t>
        </r>
        <r>
          <rPr>
            <sz val="8"/>
            <rFont val="Tahoma"/>
            <family val="0"/>
          </rPr>
          <t xml:space="preserve">
Valore senza materiale fonoassorbente</t>
        </r>
      </text>
    </comment>
    <comment ref="B11" authorId="0">
      <text>
        <r>
          <rPr>
            <b/>
            <sz val="8"/>
            <rFont val="Tahoma"/>
            <family val="0"/>
          </rPr>
          <t>jerlo:</t>
        </r>
        <r>
          <rPr>
            <sz val="8"/>
            <rFont val="Tahoma"/>
            <family val="0"/>
          </rPr>
          <t xml:space="preserve">
Valore con materiale fono assorbente inserito</t>
        </r>
      </text>
    </comment>
    <comment ref="C15" authorId="0">
      <text>
        <r>
          <rPr>
            <b/>
            <sz val="8"/>
            <rFont val="Tahoma"/>
            <family val="0"/>
          </rPr>
          <t>jerlo:</t>
        </r>
        <r>
          <rPr>
            <sz val="8"/>
            <rFont val="Tahoma"/>
            <family val="0"/>
          </rPr>
          <t xml:space="preserve">
Il valore deve sempre essere &lt;1</t>
        </r>
      </text>
    </comment>
  </commentList>
</comments>
</file>

<file path=xl/comments5.xml><?xml version="1.0" encoding="utf-8"?>
<comments xmlns="http://schemas.openxmlformats.org/spreadsheetml/2006/main">
  <authors>
    <author>Casa</author>
  </authors>
  <commentList>
    <comment ref="B29" authorId="0">
      <text>
        <r>
          <rPr>
            <b/>
            <sz val="8"/>
            <rFont val="Tahoma"/>
            <family val="0"/>
          </rPr>
          <t>jerlo:</t>
        </r>
        <r>
          <rPr>
            <sz val="8"/>
            <rFont val="Tahoma"/>
            <family val="0"/>
          </rPr>
          <t xml:space="preserve">
Il valore deve essere minore di 1</t>
        </r>
      </text>
    </comment>
  </commentList>
</comments>
</file>

<file path=xl/sharedStrings.xml><?xml version="1.0" encoding="utf-8"?>
<sst xmlns="http://schemas.openxmlformats.org/spreadsheetml/2006/main" count="299" uniqueCount="184">
  <si>
    <t>m</t>
  </si>
  <si>
    <t>mq</t>
  </si>
  <si>
    <t>sec.</t>
  </si>
  <si>
    <t>Dist. Mic.sorgente</t>
  </si>
  <si>
    <t>dB</t>
  </si>
  <si>
    <t>Liv son al Mic. (Lp)</t>
  </si>
  <si>
    <t>Liv son. alla sorgente (Lw)</t>
  </si>
  <si>
    <t>Q</t>
  </si>
  <si>
    <t>T60</t>
  </si>
  <si>
    <t>Liv Assorbimento (α1)</t>
  </si>
  <si>
    <t>larg. (m)</t>
  </si>
  <si>
    <t>lung. (m)</t>
  </si>
  <si>
    <t>alt. (m)</t>
  </si>
  <si>
    <t>Vol. (m3)</t>
  </si>
  <si>
    <t>Calcolo capacità fonoassorbente di un materiale (in locale con pareti omogenee)</t>
  </si>
  <si>
    <t>dB (A)</t>
  </si>
  <si>
    <t>Lw (singolo veicolo)</t>
  </si>
  <si>
    <t>N° veicoli all'ora</t>
  </si>
  <si>
    <t>Velocità passaggio media</t>
  </si>
  <si>
    <t>km/h</t>
  </si>
  <si>
    <t>Distanza dal evento</t>
  </si>
  <si>
    <t>Lw (per metro)</t>
  </si>
  <si>
    <t>m/h</t>
  </si>
  <si>
    <t>Dato il Sel (singol event level) calcolo livello equivalente e viceversa</t>
  </si>
  <si>
    <t>Sel</t>
  </si>
  <si>
    <t>dB(A)</t>
  </si>
  <si>
    <t>Sel totale in un ora</t>
  </si>
  <si>
    <t>L eq all'ora</t>
  </si>
  <si>
    <t>Tempo</t>
  </si>
  <si>
    <t>ora</t>
  </si>
  <si>
    <t>Dato il Sel</t>
  </si>
  <si>
    <t>Dato il Lequivalente all'ora</t>
  </si>
  <si>
    <t>R (in dB) alle frequenze (Hz)</t>
  </si>
  <si>
    <t>Tipo di divisorio</t>
  </si>
  <si>
    <t>Rw</t>
  </si>
  <si>
    <t>Parete di mattoni piena intonacata (s=12 cm, p=220 kg/m2)</t>
  </si>
  <si>
    <t>Parete di mattoni piena intonacata (s=24 cm, p=440 kg/m2)</t>
  </si>
  <si>
    <t>Parete di mattoni forati (s=28 cm)</t>
  </si>
  <si>
    <t>Parete in calcestruzzo intonacata (s=18 cm, p=440 kg/m2)</t>
  </si>
  <si>
    <t>Parete in calcestruzzo (2 strati di 5 cm, separati da intercapedine di 2,5 cm)</t>
  </si>
  <si>
    <t>Parete in calcestruzzo (2 strati di 7,5 cm, separati da intercapedine di 7,5 cm)</t>
  </si>
  <si>
    <t>Doppia finestra</t>
  </si>
  <si>
    <t>Tramezzo mobile munito di pannelli vetrati con doppio cristallo (2 lastre di diverso spessore distanti 4 cm)</t>
  </si>
  <si>
    <t>Divisorio in gesso-perlite (s=5 cm, p=49 kg/m2)</t>
  </si>
  <si>
    <t>Divisorio in gesso-perlite (s=6,3 cm, p=107 kg/m2)</t>
  </si>
  <si>
    <t>Tramezzo mobile</t>
  </si>
  <si>
    <t>Tramezzo mobile munito di pannelli vetrati (cristallo 7-9 mm di spessore)</t>
  </si>
  <si>
    <t>Tramezzo mobile munito di pannelli vetrati con doppio cristallo (2 lastre uguali distanti 1 cm)</t>
  </si>
  <si>
    <t>Indice del potere fonoisolante per i materiali di uso più comune nell’edilizia moderna:</t>
  </si>
  <si>
    <t>Zona</t>
  </si>
  <si>
    <t>Limite diurno (dBA)</t>
  </si>
  <si>
    <t>Limite notturno (dBA)</t>
  </si>
  <si>
    <t>1°</t>
  </si>
  <si>
    <t>2°</t>
  </si>
  <si>
    <t>3°</t>
  </si>
  <si>
    <t>4°</t>
  </si>
  <si>
    <t>5°</t>
  </si>
  <si>
    <t>6°</t>
  </si>
  <si>
    <t>Riflessione sul terreno</t>
  </si>
  <si>
    <t>Livello sonoro veicoli in strada (piano perfettamente riflettente)</t>
  </si>
  <si>
    <t>Dist. sorgente dal suolo (S)</t>
  </si>
  <si>
    <t>Dist. sorgente imm. dal suolo (Simm)</t>
  </si>
  <si>
    <t>Dist. ricevente dal suolo (R)</t>
  </si>
  <si>
    <t>Coefficiente di riflessione terreno (α)</t>
  </si>
  <si>
    <t>Livello sorgente (Lw)</t>
  </si>
  <si>
    <t>Livello diretto (Ldir)</t>
  </si>
  <si>
    <t>Dist. S dal R (a terra)</t>
  </si>
  <si>
    <t>Distanza reale tra S e R</t>
  </si>
  <si>
    <t>Distanza reale tra Simm e R</t>
  </si>
  <si>
    <t>Livello riflesso (Lrif)</t>
  </si>
  <si>
    <t>Velocità di propagazione suono (c)</t>
  </si>
  <si>
    <t>m/s</t>
  </si>
  <si>
    <r>
      <t>Tempo di arrivo riflesso (</t>
    </r>
    <r>
      <rPr>
        <sz val="10"/>
        <rFont val="Arial"/>
        <family val="2"/>
      </rPr>
      <t>τrif)</t>
    </r>
  </si>
  <si>
    <t>Tempo di arrivo diretto (τdir)</t>
  </si>
  <si>
    <t>ms</t>
  </si>
  <si>
    <t>Δτ</t>
  </si>
  <si>
    <t>Ltot (se sorgente incoerente)</t>
  </si>
  <si>
    <t>Lmax (se Simm coerente costruttiva)</t>
  </si>
  <si>
    <t>Lmin (se Simm coerente distruttiva)</t>
  </si>
  <si>
    <t>Calcolo assorbimento acustico stanza</t>
  </si>
  <si>
    <t>Pavimento</t>
  </si>
  <si>
    <t>Mobili</t>
  </si>
  <si>
    <t>Finestre</t>
  </si>
  <si>
    <t>Soffitto</t>
  </si>
  <si>
    <t>Parete</t>
  </si>
  <si>
    <t>Sup. (mq)</t>
  </si>
  <si>
    <t>α</t>
  </si>
  <si>
    <t>A=α*Sup</t>
  </si>
  <si>
    <t>Tot</t>
  </si>
  <si>
    <t>Dimensione del locale</t>
  </si>
  <si>
    <t>misure</t>
  </si>
  <si>
    <t>Valori assorbimento</t>
  </si>
  <si>
    <t>Livello pressione (Lp)</t>
  </si>
  <si>
    <t>Ltot</t>
  </si>
  <si>
    <t>Filtro (a)</t>
  </si>
  <si>
    <t>dB ponderato</t>
  </si>
  <si>
    <t>dB(a)</t>
  </si>
  <si>
    <t>Volume</t>
  </si>
  <si>
    <t>Tempo Riv</t>
  </si>
  <si>
    <t>Pot Son Lw</t>
  </si>
  <si>
    <t>Pannelli fono ass</t>
  </si>
  <si>
    <t>Coefficiente ass</t>
  </si>
  <si>
    <t>Area senza pannelli ass</t>
  </si>
  <si>
    <t>Area con Pannelli</t>
  </si>
  <si>
    <t>Livello sonoro Lp</t>
  </si>
  <si>
    <r>
      <t>Una parete avente superficie pari a 12 m</t>
    </r>
    <r>
      <rPr>
        <sz val="10"/>
        <rFont val="Arial"/>
        <family val="2"/>
      </rPr>
      <t>²</t>
    </r>
    <r>
      <rPr>
        <sz val="10"/>
        <rFont val="Arial"/>
        <family val="0"/>
      </rPr>
      <t xml:space="preserve"> ed un potere fonoisolante R di 46 dB separa due locali identici. Il volume di ciascuno dei locali è pari a 55 m³. Il tempo di riverbero di ciascun locale è pari a 1,4 s. E' noto il livello sonoro del primo local, in cui è in funzione una sorgente sonora, che vale L1= 85 dB. Determinare il livello di potenza della sorgente, ed il livello di pressione sonora da essa causato nel locale confinante.</t>
    </r>
  </si>
  <si>
    <t>(Lp1)</t>
  </si>
  <si>
    <t>m³</t>
  </si>
  <si>
    <t>(T60)</t>
  </si>
  <si>
    <t>s</t>
  </si>
  <si>
    <t>(A)</t>
  </si>
  <si>
    <r>
      <t>m</t>
    </r>
    <r>
      <rPr>
        <sz val="10"/>
        <rFont val="Arial"/>
        <family val="2"/>
      </rPr>
      <t>²</t>
    </r>
  </si>
  <si>
    <t>0,16*(V1/T60)</t>
  </si>
  <si>
    <t>(Lw)</t>
  </si>
  <si>
    <t>Lp1-10log(4/A)</t>
  </si>
  <si>
    <t>(Lp2)</t>
  </si>
  <si>
    <t>(R )</t>
  </si>
  <si>
    <t>(S)</t>
  </si>
  <si>
    <t>(V1) =(V2)</t>
  </si>
  <si>
    <t>Lp1-R+10log(S/A)</t>
  </si>
  <si>
    <t>Distanza sorgente (d1)</t>
  </si>
  <si>
    <t>Livello sonoro sorgente (Lp1)</t>
  </si>
  <si>
    <t>Distanza ricevitore (d2)</t>
  </si>
  <si>
    <t>Livello sonoro ricevitore (Lp2)</t>
  </si>
  <si>
    <t>CONSIDERO ORA LA RIFLESSIONE DEL TERRENO</t>
  </si>
  <si>
    <t>Distanza (d3)</t>
  </si>
  <si>
    <t>Altezza sorgente e ricevitore (H)</t>
  </si>
  <si>
    <t>Una sorgente incoerente, puntiforme ed omnidirezionale da luogo ad un livello sonoro pari a 86 dB alla distanza di m 1,5. Calcolare il livello sonoro prodotto dalla stessa sorgente su un ricevitore situato ad una distanza di m 18 in assenza ed in presenza del terreno; in quest'ultimo caso sorgente e ricevitore si trovano entrambi ad una quota di m 7, ed il coeff. di assorbimento del terreno è pari a 0,5.</t>
  </si>
  <si>
    <t>(Lrif)</t>
  </si>
  <si>
    <r>
      <t>Coeff. di assorbimento (</t>
    </r>
    <r>
      <rPr>
        <sz val="10"/>
        <rFont val="Arial"/>
        <family val="2"/>
      </rPr>
      <t>α</t>
    </r>
    <r>
      <rPr>
        <sz val="10"/>
        <rFont val="Arial"/>
        <family val="0"/>
      </rPr>
      <t>)</t>
    </r>
  </si>
  <si>
    <t>(Lp3)</t>
  </si>
  <si>
    <t>Lp2= Lw-11-20*log(d1)</t>
  </si>
  <si>
    <t>Lw= Lp1+11+20*log(d2)</t>
  </si>
  <si>
    <t>d3=((d2^2)+((H*2)^2))^0,5</t>
  </si>
  <si>
    <t>Lrif= Lw-11-20*log(d3)</t>
  </si>
  <si>
    <t>Lp3= 10*LOG((10^(Lp2/10))+(10^(Lrif/10)))</t>
  </si>
  <si>
    <r>
      <t xml:space="preserve">Livello sonoro medio </t>
    </r>
    <r>
      <rPr>
        <sz val="10"/>
        <rFont val="Arial"/>
        <family val="2"/>
      </rPr>
      <t>Δ</t>
    </r>
    <r>
      <rPr>
        <sz val="10"/>
        <rFont val="Arial"/>
        <family val="0"/>
      </rPr>
      <t>L</t>
    </r>
  </si>
  <si>
    <t xml:space="preserve">Tempo di riverbero (T60) </t>
  </si>
  <si>
    <t>Tempo di riverbero con mat. fonoassorbente (T60f)</t>
  </si>
  <si>
    <t>Volume stanza</t>
  </si>
  <si>
    <r>
      <t>m</t>
    </r>
    <r>
      <rPr>
        <sz val="10"/>
        <rFont val="Arial"/>
        <family val="2"/>
      </rPr>
      <t>³</t>
    </r>
  </si>
  <si>
    <t>Larghezza stanza</t>
  </si>
  <si>
    <t>Lunghezza stanza</t>
  </si>
  <si>
    <t>Altezza stanza</t>
  </si>
  <si>
    <t>Area equivalente (A)</t>
  </si>
  <si>
    <t>0,16*(V/T60)</t>
  </si>
  <si>
    <t>Volume stanza (V)</t>
  </si>
  <si>
    <t>Superfice stanza (Stot)</t>
  </si>
  <si>
    <t>A/Stot</t>
  </si>
  <si>
    <t>Superficie materiale fonoassorbente (Sp)</t>
  </si>
  <si>
    <t>(1/Sp)*((0,16*V/T60f)-(αm*(Stoto-Sp))</t>
  </si>
  <si>
    <t>Livello sonoro stanza (Lp)</t>
  </si>
  <si>
    <t>Rumore di fondo</t>
  </si>
  <si>
    <t>Decadimento</t>
  </si>
  <si>
    <t>Margine di assestamento per normativa</t>
  </si>
  <si>
    <t>Livello sonoro sorgente (Lw)</t>
  </si>
  <si>
    <t>Area di assorbimento (A)</t>
  </si>
  <si>
    <r>
      <t>In un ambiente riverberante dove è presente un rumore di fondo di 50 dB si vuole effettuare la misura del tempo di riverberazione con la tecnica del decadimento stazionario interrotto; valutare la potenza acustica minima che la sorgente, utilizzata per generare il rumore stazionario, deve avere affinché sia possibile misurare il T20 senza che il rumore di fondo influenzi la misura e prevedere il risultato finale della misura se l’ambiente ha un volume di 200 m</t>
    </r>
    <r>
      <rPr>
        <sz val="10"/>
        <rFont val="Arial"/>
        <family val="2"/>
      </rPr>
      <t>³</t>
    </r>
    <r>
      <rPr>
        <sz val="10"/>
        <rFont val="Arial"/>
        <family val="0"/>
      </rPr>
      <t xml:space="preserve"> e un’area di assorbimento di 45 m</t>
    </r>
    <r>
      <rPr>
        <sz val="10"/>
        <rFont val="Arial"/>
        <family val="2"/>
      </rPr>
      <t>²</t>
    </r>
  </si>
  <si>
    <t>(Tr)</t>
  </si>
  <si>
    <t>Lp-10*LOG(4/A)</t>
  </si>
  <si>
    <t>0,16*(V/A)</t>
  </si>
  <si>
    <r>
      <t>In un ambiente avente un volume di 400 m</t>
    </r>
    <r>
      <rPr>
        <sz val="10"/>
        <rFont val="Arial"/>
        <family val="2"/>
      </rPr>
      <t>³</t>
    </r>
    <r>
      <rPr>
        <sz val="10"/>
        <rFont val="Arial"/>
        <family val="0"/>
      </rPr>
      <t xml:space="preserve"> e tempo di riverberazione pari a 3 s viene installata una sorgente sonora avente un livello di potenza sonora Lw pari a 80 db(A). Determinare il livello sonoro medio nell'ambiente, e la riduzione di livello che si otterrebbe se venisse effettuato il trattamento fonoassorbente consistente nell'installazione di 100 m</t>
    </r>
    <r>
      <rPr>
        <sz val="10"/>
        <rFont val="Arial"/>
        <family val="2"/>
      </rPr>
      <t>²</t>
    </r>
    <r>
      <rPr>
        <sz val="10"/>
        <rFont val="Arial"/>
        <family val="0"/>
      </rPr>
      <t xml:space="preserve"> di pannelli "baffles" avente un coeff. di assorbimento medio pai a 0,3</t>
    </r>
  </si>
  <si>
    <t>Superficie stanza</t>
  </si>
  <si>
    <t>Calcolo livello sonoro da sorgente a microfono con assorbimento e riverbero (pareti omogene)</t>
  </si>
  <si>
    <t>Tempo di riverbero (T60)</t>
  </si>
  <si>
    <r>
      <t>Coefficiente di assorbimento acustico materiale (</t>
    </r>
    <r>
      <rPr>
        <sz val="10"/>
        <rFont val="Arial"/>
        <family val="2"/>
      </rPr>
      <t>α</t>
    </r>
    <r>
      <rPr>
        <sz val="10"/>
        <rFont val="Arial"/>
        <family val="0"/>
      </rPr>
      <t>m)</t>
    </r>
  </si>
  <si>
    <t>Coefficiente di assorbimento acustico materiale (α)</t>
  </si>
  <si>
    <t>Liv sonoro al microfono (Lp)</t>
  </si>
  <si>
    <t>Distanza microfono-sorgente (D)</t>
  </si>
  <si>
    <r>
      <t>Lw+10*LOG((Q/4</t>
    </r>
    <r>
      <rPr>
        <sz val="10"/>
        <rFont val="Arial"/>
        <family val="2"/>
      </rPr>
      <t>π</t>
    </r>
    <r>
      <rPr>
        <sz val="10"/>
        <rFont val="Arial"/>
        <family val="0"/>
      </rPr>
      <t>D</t>
    </r>
    <r>
      <rPr>
        <sz val="10"/>
        <rFont val="Arial"/>
        <family val="2"/>
      </rPr>
      <t>²</t>
    </r>
    <r>
      <rPr>
        <sz val="10"/>
        <rFont val="Arial"/>
        <family val="0"/>
      </rPr>
      <t>)+(4/</t>
    </r>
    <r>
      <rPr>
        <sz val="10"/>
        <rFont val="Arial"/>
        <family val="2"/>
      </rPr>
      <t>α</t>
    </r>
    <r>
      <rPr>
        <sz val="10"/>
        <rFont val="Arial"/>
        <family val="0"/>
      </rPr>
      <t>A))</t>
    </r>
  </si>
  <si>
    <t>Per la creazione di tutte le tabelle si ringrazia</t>
  </si>
  <si>
    <t>Bianchi Michael</t>
  </si>
  <si>
    <t>Botti Matteo</t>
  </si>
  <si>
    <t>Bicchieri Stefano</t>
  </si>
  <si>
    <t>Gerlando LoPresti</t>
  </si>
  <si>
    <t>Gibellini Mjria</t>
  </si>
  <si>
    <t>Aree particolarmente protette (scuole, ospedali, asili, etc.)</t>
  </si>
  <si>
    <t>Aree di Intensa attività umana</t>
  </si>
  <si>
    <t>Aree di tipo misto</t>
  </si>
  <si>
    <t>Aree eslcusivamente residenziali</t>
  </si>
  <si>
    <t>Aree Prevalentemente Industriali</t>
  </si>
  <si>
    <t>Aree Esclusivamente Industriali</t>
  </si>
  <si>
    <t>Margine a fine decadimento sopra il fondo</t>
  </si>
  <si>
    <t>Nome zona (DPCM 1/3/1991)</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</si>
</sst>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0E+00"/>
    <numFmt numFmtId="171" formatCode="0.000E+00"/>
    <numFmt numFmtId="172" formatCode="0.00000000"/>
    <numFmt numFmtId="173" formatCode="0.0000000"/>
    <numFmt numFmtId="174" formatCode="0.000000"/>
    <numFmt numFmtId="175" formatCode="0.00000"/>
    <numFmt numFmtId="176" formatCode="0.0000"/>
    <numFmt numFmtId="177" formatCode="00000"/>
    <numFmt numFmtId="178" formatCode="0.000"/>
    <numFmt numFmtId="179" formatCode="0.000000000"/>
    <numFmt numFmtId="180" formatCode="0.0000000000"/>
    <numFmt numFmtId="181" formatCode="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0.0E+00"/>
    <numFmt numFmtId="187" formatCode="0E+00"/>
    <numFmt numFmtId="188" formatCode="h\.mm\.ss"/>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s>
  <fonts count="10">
    <font>
      <sz val="10"/>
      <name val="Arial"/>
      <family val="0"/>
    </font>
    <font>
      <sz val="8"/>
      <name val="Arial"/>
      <family val="0"/>
    </font>
    <font>
      <sz val="8"/>
      <name val="Tahoma"/>
      <family val="0"/>
    </font>
    <font>
      <b/>
      <sz val="8"/>
      <name val="Tahoma"/>
      <family val="0"/>
    </font>
    <font>
      <b/>
      <sz val="10"/>
      <name val="Arial"/>
      <family val="2"/>
    </font>
    <font>
      <sz val="12"/>
      <name val="Times New Roman"/>
      <family val="1"/>
    </font>
    <font>
      <sz val="10"/>
      <color indexed="10"/>
      <name val="Arial"/>
      <family val="0"/>
    </font>
    <font>
      <sz val="14"/>
      <color indexed="9"/>
      <name val="BankGothic Md BT"/>
      <family val="2"/>
    </font>
    <font>
      <sz val="16"/>
      <name val="BankGothic Md BT"/>
      <family val="2"/>
    </font>
    <font>
      <b/>
      <sz val="8"/>
      <name val="Arial"/>
      <family val="2"/>
    </font>
  </fonts>
  <fills count="9">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36">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style="medium"/>
      <bottom style="thin"/>
    </border>
    <border>
      <left>
        <color indexed="63"/>
      </left>
      <right>
        <color indexed="63"/>
      </right>
      <top style="thin"/>
      <bottom style="medium"/>
    </border>
    <border>
      <left style="thin">
        <color indexed="9"/>
      </left>
      <right style="thin"/>
      <top style="thin">
        <color indexed="9"/>
      </top>
      <bottom style="thin">
        <color indexed="9"/>
      </bottom>
    </border>
    <border>
      <left style="thin"/>
      <right style="thin"/>
      <top style="thin">
        <color indexed="9"/>
      </top>
      <bottom style="thin">
        <color indexed="9"/>
      </bottom>
    </border>
    <border>
      <left style="thin"/>
      <right style="thin">
        <color indexed="9"/>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right"/>
    </xf>
    <xf numFmtId="0" fontId="0" fillId="0" borderId="6" xfId="0" applyBorder="1" applyAlignment="1">
      <alignment/>
    </xf>
    <xf numFmtId="0" fontId="0" fillId="2" borderId="0" xfId="0" applyFill="1" applyBorder="1" applyAlignment="1">
      <alignment/>
    </xf>
    <xf numFmtId="0" fontId="0" fillId="3" borderId="0" xfId="0" applyFill="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left"/>
    </xf>
    <xf numFmtId="0" fontId="0" fillId="4" borderId="10" xfId="0" applyFill="1" applyBorder="1" applyAlignment="1">
      <alignment/>
    </xf>
    <xf numFmtId="0" fontId="0" fillId="4" borderId="11" xfId="0" applyFill="1" applyBorder="1" applyAlignment="1">
      <alignment/>
    </xf>
    <xf numFmtId="0" fontId="0" fillId="4" borderId="0" xfId="0" applyFill="1" applyAlignment="1">
      <alignment/>
    </xf>
    <xf numFmtId="0" fontId="0" fillId="5" borderId="0"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0" borderId="5" xfId="0" applyFill="1" applyBorder="1" applyAlignment="1">
      <alignment/>
    </xf>
    <xf numFmtId="0" fontId="0" fillId="6" borderId="1" xfId="0" applyFill="1" applyBorder="1" applyAlignment="1">
      <alignment/>
    </xf>
    <xf numFmtId="0" fontId="4" fillId="4" borderId="0" xfId="0" applyFont="1" applyFill="1" applyAlignment="1">
      <alignment/>
    </xf>
    <xf numFmtId="0" fontId="4" fillId="4" borderId="12" xfId="0" applyFont="1" applyFill="1" applyBorder="1" applyAlignment="1">
      <alignment/>
    </xf>
    <xf numFmtId="0" fontId="5" fillId="0" borderId="0" xfId="0" applyFont="1" applyAlignment="1">
      <alignment/>
    </xf>
    <xf numFmtId="2" fontId="0" fillId="3" borderId="0" xfId="0" applyNumberFormat="1"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4" fillId="4" borderId="10" xfId="0" applyFont="1" applyFill="1" applyBorder="1" applyAlignment="1">
      <alignment/>
    </xf>
    <xf numFmtId="0" fontId="4" fillId="4" borderId="11" xfId="0" applyFont="1" applyFill="1" applyBorder="1" applyAlignment="1">
      <alignment/>
    </xf>
    <xf numFmtId="0" fontId="0" fillId="0" borderId="5" xfId="0" applyFont="1" applyBorder="1" applyAlignment="1">
      <alignment/>
    </xf>
    <xf numFmtId="0" fontId="0" fillId="0" borderId="6" xfId="0" applyFont="1" applyBorder="1" applyAlignment="1">
      <alignment horizontal="center"/>
    </xf>
    <xf numFmtId="0" fontId="0" fillId="0" borderId="0" xfId="0" applyFill="1" applyBorder="1" applyAlignment="1">
      <alignment/>
    </xf>
    <xf numFmtId="0" fontId="0" fillId="2" borderId="1" xfId="0" applyFill="1" applyBorder="1" applyAlignment="1">
      <alignment/>
    </xf>
    <xf numFmtId="2" fontId="0" fillId="3" borderId="1" xfId="0" applyNumberFormat="1" applyFill="1" applyBorder="1" applyAlignment="1">
      <alignment/>
    </xf>
    <xf numFmtId="0" fontId="0" fillId="0" borderId="1" xfId="0" applyBorder="1" applyAlignment="1">
      <alignment horizontal="left"/>
    </xf>
    <xf numFmtId="0" fontId="0" fillId="0" borderId="0" xfId="0"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0" fillId="0" borderId="13" xfId="0" applyBorder="1" applyAlignment="1">
      <alignment horizontal="left"/>
    </xf>
    <xf numFmtId="0" fontId="0" fillId="2" borderId="1" xfId="0" applyFill="1" applyBorder="1" applyAlignment="1">
      <alignment horizontal="right"/>
    </xf>
    <xf numFmtId="0" fontId="0" fillId="0" borderId="5" xfId="0" applyBorder="1" applyAlignment="1">
      <alignment/>
    </xf>
    <xf numFmtId="0" fontId="0" fillId="6" borderId="13" xfId="0" applyFill="1" applyBorder="1" applyAlignment="1">
      <alignment/>
    </xf>
    <xf numFmtId="0" fontId="0" fillId="7" borderId="14" xfId="0" applyFill="1" applyBorder="1" applyAlignment="1">
      <alignment/>
    </xf>
    <xf numFmtId="0" fontId="0" fillId="6" borderId="15" xfId="0" applyFill="1" applyBorder="1" applyAlignment="1">
      <alignment/>
    </xf>
    <xf numFmtId="0" fontId="0" fillId="0" borderId="16" xfId="0" applyBorder="1" applyAlignment="1">
      <alignment/>
    </xf>
    <xf numFmtId="0" fontId="0" fillId="7" borderId="17" xfId="0" applyFill="1" applyBorder="1" applyAlignment="1">
      <alignment/>
    </xf>
    <xf numFmtId="0" fontId="0" fillId="2" borderId="13" xfId="0" applyFill="1" applyBorder="1" applyAlignment="1">
      <alignment horizontal="center"/>
    </xf>
    <xf numFmtId="0" fontId="0" fillId="2" borderId="14" xfId="0" applyFill="1" applyBorder="1" applyAlignment="1">
      <alignment/>
    </xf>
    <xf numFmtId="0" fontId="0" fillId="2" borderId="13" xfId="0" applyFill="1" applyBorder="1" applyAlignment="1">
      <alignment/>
    </xf>
    <xf numFmtId="0" fontId="0" fillId="2" borderId="14" xfId="0" applyFill="1" applyBorder="1" applyAlignment="1">
      <alignment horizontal="center"/>
    </xf>
    <xf numFmtId="0" fontId="5" fillId="0" borderId="0" xfId="0" applyFont="1" applyFill="1" applyBorder="1" applyAlignment="1">
      <alignment vertical="top" wrapText="1"/>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6" borderId="18" xfId="0" applyFont="1" applyFill="1" applyBorder="1" applyAlignment="1">
      <alignment horizontal="center" vertical="top" wrapText="1"/>
    </xf>
    <xf numFmtId="0" fontId="0" fillId="6"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1" xfId="0" applyFont="1" applyFill="1" applyBorder="1" applyAlignment="1">
      <alignment horizontal="center" vertical="top" wrapText="1"/>
    </xf>
    <xf numFmtId="0" fontId="6" fillId="6" borderId="13" xfId="0" applyFont="1" applyFill="1"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2" fontId="0" fillId="3" borderId="0" xfId="0" applyNumberFormat="1" applyFill="1" applyBorder="1" applyAlignment="1">
      <alignment/>
    </xf>
    <xf numFmtId="0" fontId="0" fillId="3" borderId="1" xfId="0" applyFill="1" applyBorder="1" applyAlignment="1">
      <alignment/>
    </xf>
    <xf numFmtId="176" fontId="0" fillId="3" borderId="1" xfId="0" applyNumberFormat="1" applyFill="1" applyBorder="1" applyAlignment="1">
      <alignment/>
    </xf>
    <xf numFmtId="178" fontId="0" fillId="3" borderId="1" xfId="0" applyNumberFormat="1" applyFill="1" applyBorder="1" applyAlignment="1">
      <alignment/>
    </xf>
    <xf numFmtId="0" fontId="0" fillId="0" borderId="3" xfId="0" applyBorder="1" applyAlignment="1">
      <alignment horizontal="center"/>
    </xf>
    <xf numFmtId="181" fontId="0" fillId="3" borderId="1" xfId="0" applyNumberFormat="1" applyFill="1" applyBorder="1" applyAlignment="1">
      <alignment/>
    </xf>
    <xf numFmtId="0" fontId="0" fillId="0" borderId="6" xfId="0" applyBorder="1" applyAlignment="1">
      <alignment/>
    </xf>
    <xf numFmtId="0" fontId="0" fillId="0" borderId="19" xfId="0" applyBorder="1" applyAlignment="1">
      <alignment/>
    </xf>
    <xf numFmtId="0" fontId="0" fillId="0" borderId="22" xfId="0" applyBorder="1" applyAlignment="1">
      <alignment/>
    </xf>
    <xf numFmtId="0" fontId="0" fillId="0" borderId="3" xfId="0" applyBorder="1" applyAlignment="1">
      <alignment horizontal="left"/>
    </xf>
    <xf numFmtId="0" fontId="0" fillId="0" borderId="3" xfId="0" applyBorder="1" applyAlignment="1">
      <alignment horizontal="right"/>
    </xf>
    <xf numFmtId="0" fontId="0" fillId="0" borderId="5" xfId="0" applyFill="1" applyBorder="1" applyAlignment="1">
      <alignment/>
    </xf>
    <xf numFmtId="0" fontId="0" fillId="0" borderId="0" xfId="0" applyFill="1" applyBorder="1" applyAlignment="1">
      <alignment/>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7" fillId="8" borderId="23" xfId="0" applyFont="1" applyFill="1" applyBorder="1" applyAlignment="1">
      <alignment horizontal="center"/>
    </xf>
    <xf numFmtId="0" fontId="7" fillId="8" borderId="24" xfId="0" applyFont="1" applyFill="1" applyBorder="1" applyAlignment="1">
      <alignment horizontal="center"/>
    </xf>
    <xf numFmtId="0" fontId="7" fillId="8" borderId="25" xfId="0" applyFont="1" applyFill="1" applyBorder="1" applyAlignment="1">
      <alignment horizontal="center"/>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8" fillId="0" borderId="0" xfId="0" applyFont="1" applyBorder="1" applyAlignment="1">
      <alignment horizontal="center" wrapText="1"/>
    </xf>
    <xf numFmtId="0" fontId="8" fillId="0" borderId="30" xfId="0" applyFont="1" applyBorder="1" applyAlignment="1">
      <alignment horizontal="center" wrapText="1"/>
    </xf>
    <xf numFmtId="0" fontId="0" fillId="0" borderId="5" xfId="0" applyFill="1" applyBorder="1" applyAlignment="1">
      <alignment horizontal="left"/>
    </xf>
    <xf numFmtId="0" fontId="0" fillId="0" borderId="0" xfId="0" applyFill="1" applyBorder="1" applyAlignment="1">
      <alignment horizontal="left"/>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0" borderId="5" xfId="0" applyBorder="1" applyAlignment="1">
      <alignment/>
    </xf>
    <xf numFmtId="0" fontId="0" fillId="0" borderId="0" xfId="0" applyBorder="1" applyAlignment="1">
      <alignment/>
    </xf>
    <xf numFmtId="0" fontId="0" fillId="0" borderId="13" xfId="0" applyBorder="1" applyAlignment="1">
      <alignment horizontal="left"/>
    </xf>
    <xf numFmtId="0" fontId="0" fillId="0" borderId="1" xfId="0" applyBorder="1" applyAlignment="1">
      <alignment horizontal="left"/>
    </xf>
    <xf numFmtId="0" fontId="4" fillId="4" borderId="12"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0" fillId="0" borderId="29"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4" borderId="2" xfId="0" applyNumberFormat="1" applyFont="1" applyFill="1" applyBorder="1" applyAlignment="1">
      <alignment horizontal="center" vertical="center" wrapText="1"/>
    </xf>
    <xf numFmtId="0" fontId="0" fillId="4" borderId="3" xfId="0" applyNumberFormat="1" applyFont="1" applyFill="1" applyBorder="1" applyAlignment="1">
      <alignment horizontal="center" vertical="center" wrapText="1"/>
    </xf>
    <xf numFmtId="0" fontId="0" fillId="4" borderId="4" xfId="0" applyNumberFormat="1" applyFont="1" applyFill="1" applyBorder="1" applyAlignment="1">
      <alignment horizontal="center" vertical="center" wrapText="1"/>
    </xf>
    <xf numFmtId="0" fontId="0" fillId="4" borderId="5" xfId="0" applyNumberFormat="1" applyFont="1" applyFill="1" applyBorder="1" applyAlignment="1">
      <alignment horizontal="center" vertical="center" wrapText="1"/>
    </xf>
    <xf numFmtId="0" fontId="0" fillId="4" borderId="0" xfId="0" applyNumberFormat="1" applyFont="1" applyFill="1" applyBorder="1" applyAlignment="1">
      <alignment horizontal="center" vertical="center" wrapText="1"/>
    </xf>
    <xf numFmtId="0" fontId="0" fillId="4" borderId="6" xfId="0" applyNumberFormat="1" applyFont="1" applyFill="1" applyBorder="1" applyAlignment="1">
      <alignment horizontal="center" vertical="center" wrapText="1"/>
    </xf>
    <xf numFmtId="0" fontId="0" fillId="0" borderId="5" xfId="0" applyBorder="1" applyAlignment="1">
      <alignment horizontal="left"/>
    </xf>
    <xf numFmtId="0" fontId="0" fillId="0" borderId="0" xfId="0"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4" fillId="0" borderId="1" xfId="0" applyFont="1" applyBorder="1" applyAlignment="1">
      <alignment horizontal="center"/>
    </xf>
    <xf numFmtId="0" fontId="0" fillId="0" borderId="1" xfId="0" applyFont="1" applyBorder="1" applyAlignment="1">
      <alignment horizontal="center" vertical="top" wrapText="1"/>
    </xf>
    <xf numFmtId="0" fontId="0" fillId="0" borderId="16" xfId="0" applyFont="1" applyBorder="1" applyAlignment="1">
      <alignment horizontal="center" vertical="top" wrapText="1"/>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4" fillId="2" borderId="34" xfId="0" applyFont="1" applyFill="1" applyBorder="1" applyAlignment="1">
      <alignment horizontal="center" vertical="top" wrapText="1"/>
    </xf>
    <xf numFmtId="0" fontId="4" fillId="2" borderId="35" xfId="0" applyFont="1" applyFill="1" applyBorder="1" applyAlignment="1">
      <alignment horizontal="center" vertical="top" wrapText="1"/>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3:I9"/>
  <sheetViews>
    <sheetView tabSelected="1" workbookViewId="0" topLeftCell="A1">
      <selection activeCell="J8" sqref="J8"/>
    </sheetView>
  </sheetViews>
  <sheetFormatPr defaultColWidth="9.140625" defaultRowHeight="12.75"/>
  <sheetData>
    <row r="3" spans="2:6" ht="17.25" customHeight="1">
      <c r="B3" s="86" t="s">
        <v>170</v>
      </c>
      <c r="C3" s="87"/>
      <c r="D3" s="87"/>
      <c r="E3" s="87"/>
      <c r="F3" s="88"/>
    </row>
    <row r="4" spans="2:6" ht="18" customHeight="1">
      <c r="B4" s="89"/>
      <c r="C4" s="90"/>
      <c r="D4" s="90"/>
      <c r="E4" s="90"/>
      <c r="F4" s="91"/>
    </row>
    <row r="5" spans="2:6" ht="18">
      <c r="B5" s="83" t="s">
        <v>171</v>
      </c>
      <c r="C5" s="84"/>
      <c r="D5" s="84"/>
      <c r="E5" s="84"/>
      <c r="F5" s="85"/>
    </row>
    <row r="6" spans="2:9" ht="18">
      <c r="B6" s="83" t="s">
        <v>173</v>
      </c>
      <c r="C6" s="84"/>
      <c r="D6" s="84"/>
      <c r="E6" s="84"/>
      <c r="F6" s="85"/>
      <c r="H6" s="2"/>
      <c r="I6" s="2"/>
    </row>
    <row r="7" spans="2:9" ht="18">
      <c r="B7" s="83" t="s">
        <v>172</v>
      </c>
      <c r="C7" s="84"/>
      <c r="D7" s="84"/>
      <c r="E7" s="84"/>
      <c r="F7" s="85"/>
      <c r="H7" s="2"/>
      <c r="I7" s="2"/>
    </row>
    <row r="8" spans="2:9" ht="18">
      <c r="B8" s="83" t="s">
        <v>174</v>
      </c>
      <c r="C8" s="84"/>
      <c r="D8" s="84"/>
      <c r="E8" s="84"/>
      <c r="F8" s="85"/>
      <c r="H8" s="2"/>
      <c r="I8" s="2"/>
    </row>
    <row r="9" spans="2:9" ht="18">
      <c r="B9" s="83" t="s">
        <v>175</v>
      </c>
      <c r="C9" s="84"/>
      <c r="D9" s="84"/>
      <c r="E9" s="84"/>
      <c r="F9" s="85"/>
      <c r="H9" s="2"/>
      <c r="I9" s="2"/>
    </row>
  </sheetData>
  <mergeCells count="6">
    <mergeCell ref="B8:F8"/>
    <mergeCell ref="B9:F9"/>
    <mergeCell ref="B3:F4"/>
    <mergeCell ref="B5:F5"/>
    <mergeCell ref="B6:F6"/>
    <mergeCell ref="B7:F7"/>
  </mergeCell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2:P96"/>
  <sheetViews>
    <sheetView workbookViewId="0" topLeftCell="A1">
      <selection activeCell="I1" sqref="I1"/>
    </sheetView>
  </sheetViews>
  <sheetFormatPr defaultColWidth="9.140625" defaultRowHeight="12.75"/>
  <cols>
    <col min="1" max="1" width="31.7109375" style="0" customWidth="1"/>
    <col min="2" max="2" width="12.00390625" style="0" bestFit="1" customWidth="1"/>
    <col min="8" max="8" width="3.421875" style="0" customWidth="1"/>
    <col min="9" max="9" width="30.28125" style="0" customWidth="1"/>
    <col min="12" max="12" width="10.00390625" style="0" bestFit="1" customWidth="1"/>
  </cols>
  <sheetData>
    <row r="2" spans="1:8" ht="13.5" thickBot="1">
      <c r="A2" s="23" t="s">
        <v>59</v>
      </c>
      <c r="B2" s="17"/>
      <c r="C2" s="17"/>
      <c r="D2" s="17"/>
      <c r="E2" s="17"/>
      <c r="F2" s="17"/>
      <c r="H2" s="2"/>
    </row>
    <row r="3" spans="1:8" ht="12.75">
      <c r="A3" s="3"/>
      <c r="B3" s="4"/>
      <c r="C3" s="4"/>
      <c r="D3" s="4"/>
      <c r="E3" s="4"/>
      <c r="F3" s="5"/>
      <c r="H3" s="2"/>
    </row>
    <row r="4" spans="1:8" ht="12.75">
      <c r="A4" s="6"/>
      <c r="B4" s="2"/>
      <c r="C4" s="2"/>
      <c r="D4" s="2"/>
      <c r="E4" s="2"/>
      <c r="F4" s="8"/>
      <c r="H4" s="2"/>
    </row>
    <row r="5" spans="1:8" ht="12.75">
      <c r="A5" s="6" t="s">
        <v>16</v>
      </c>
      <c r="B5" s="9">
        <v>80</v>
      </c>
      <c r="C5" s="2" t="s">
        <v>15</v>
      </c>
      <c r="D5" s="2"/>
      <c r="E5" s="2"/>
      <c r="F5" s="8"/>
      <c r="H5" s="2"/>
    </row>
    <row r="6" spans="1:8" ht="12.75">
      <c r="A6" s="6" t="s">
        <v>17</v>
      </c>
      <c r="B6" s="9">
        <v>1000</v>
      </c>
      <c r="C6" s="2"/>
      <c r="D6" s="2"/>
      <c r="E6" s="2"/>
      <c r="F6" s="8"/>
      <c r="H6" s="2"/>
    </row>
    <row r="7" spans="1:8" ht="12.75">
      <c r="A7" s="21" t="s">
        <v>18</v>
      </c>
      <c r="B7" s="9">
        <v>100</v>
      </c>
      <c r="C7" s="2" t="s">
        <v>19</v>
      </c>
      <c r="D7" s="10">
        <f>B7*1000</f>
        <v>100000</v>
      </c>
      <c r="E7" s="2" t="s">
        <v>22</v>
      </c>
      <c r="F7" s="8"/>
      <c r="H7" s="2"/>
    </row>
    <row r="8" spans="1:8" ht="12.75">
      <c r="A8" s="6"/>
      <c r="B8" s="2"/>
      <c r="C8" s="2"/>
      <c r="D8" s="2"/>
      <c r="E8" s="2"/>
      <c r="F8" s="8"/>
      <c r="H8" s="2"/>
    </row>
    <row r="9" spans="1:8" ht="12.75">
      <c r="A9" s="21" t="s">
        <v>20</v>
      </c>
      <c r="B9" s="9">
        <v>7.5</v>
      </c>
      <c r="C9" s="2" t="s">
        <v>0</v>
      </c>
      <c r="D9" s="2"/>
      <c r="E9" s="2"/>
      <c r="F9" s="8"/>
      <c r="H9" s="2"/>
    </row>
    <row r="10" spans="1:8" ht="12.75">
      <c r="A10" s="21" t="s">
        <v>7</v>
      </c>
      <c r="B10" s="9">
        <v>2</v>
      </c>
      <c r="C10" s="2"/>
      <c r="D10" s="2"/>
      <c r="E10" s="2"/>
      <c r="F10" s="8"/>
      <c r="H10" s="2"/>
    </row>
    <row r="11" spans="1:8" ht="12.75">
      <c r="A11" s="6" t="s">
        <v>21</v>
      </c>
      <c r="B11" s="10">
        <f>B5+10*LOG(B6/D7)</f>
        <v>60</v>
      </c>
      <c r="C11" s="2" t="s">
        <v>4</v>
      </c>
      <c r="D11" s="2"/>
      <c r="E11" s="2"/>
      <c r="F11" s="8"/>
      <c r="H11" s="2"/>
    </row>
    <row r="12" spans="1:8" ht="12.75">
      <c r="A12" s="6"/>
      <c r="B12" s="2"/>
      <c r="C12" s="2"/>
      <c r="D12" s="2"/>
      <c r="E12" s="2"/>
      <c r="F12" s="8"/>
      <c r="H12" s="2"/>
    </row>
    <row r="13" spans="1:8" ht="12.75">
      <c r="A13" s="6" t="s">
        <v>92</v>
      </c>
      <c r="B13" s="10">
        <f>B11+10*LOG(B10/(2*3.14*B9))</f>
        <v>46.28009088535085</v>
      </c>
      <c r="C13" s="2"/>
      <c r="D13" s="2"/>
      <c r="E13" s="2"/>
      <c r="F13" s="8"/>
      <c r="H13" s="2"/>
    </row>
    <row r="14" spans="1:8" ht="13.5" thickBot="1">
      <c r="A14" s="11"/>
      <c r="B14" s="12"/>
      <c r="C14" s="12"/>
      <c r="D14" s="12"/>
      <c r="E14" s="12"/>
      <c r="F14" s="13"/>
      <c r="H14" s="2"/>
    </row>
    <row r="15" spans="1:8" ht="12.75">
      <c r="A15" s="2"/>
      <c r="H15" s="2"/>
    </row>
    <row r="16" spans="1:8" ht="13.5" thickBot="1">
      <c r="A16" s="2"/>
      <c r="H16" s="2"/>
    </row>
    <row r="17" spans="1:8" ht="13.5" thickBot="1">
      <c r="A17" s="24" t="s">
        <v>23</v>
      </c>
      <c r="B17" s="15"/>
      <c r="C17" s="15"/>
      <c r="D17" s="15"/>
      <c r="E17" s="15"/>
      <c r="F17" s="16"/>
      <c r="H17" s="2"/>
    </row>
    <row r="18" spans="1:8" ht="12.75">
      <c r="A18" s="6"/>
      <c r="B18" s="2"/>
      <c r="C18" s="2"/>
      <c r="D18" s="2"/>
      <c r="E18" s="2"/>
      <c r="F18" s="8"/>
      <c r="H18" s="2"/>
    </row>
    <row r="19" spans="1:6" ht="12.75">
      <c r="A19" s="19" t="s">
        <v>30</v>
      </c>
      <c r="B19" s="18"/>
      <c r="C19" s="18"/>
      <c r="D19" s="18"/>
      <c r="E19" s="18"/>
      <c r="F19" s="20"/>
    </row>
    <row r="20" spans="1:7" ht="12.75">
      <c r="A20" s="6" t="s">
        <v>24</v>
      </c>
      <c r="B20" s="9">
        <v>90</v>
      </c>
      <c r="C20" s="2" t="s">
        <v>25</v>
      </c>
      <c r="D20" s="2"/>
      <c r="E20" s="2"/>
      <c r="F20" s="8"/>
      <c r="G20" s="33"/>
    </row>
    <row r="21" spans="1:7" ht="12.75">
      <c r="A21" s="6" t="s">
        <v>17</v>
      </c>
      <c r="B21" s="9">
        <v>1000</v>
      </c>
      <c r="C21" s="2"/>
      <c r="D21" s="2"/>
      <c r="E21" s="2"/>
      <c r="F21" s="8"/>
      <c r="G21" s="33"/>
    </row>
    <row r="22" spans="1:7" ht="12.75">
      <c r="A22" s="21" t="s">
        <v>28</v>
      </c>
      <c r="B22" s="9">
        <v>1</v>
      </c>
      <c r="C22" s="2" t="s">
        <v>29</v>
      </c>
      <c r="D22" s="10">
        <f>B22*3600</f>
        <v>3600</v>
      </c>
      <c r="E22" s="2" t="s">
        <v>2</v>
      </c>
      <c r="F22" s="8"/>
      <c r="G22" s="33"/>
    </row>
    <row r="23" spans="1:7" ht="12.75">
      <c r="A23" s="6" t="s">
        <v>26</v>
      </c>
      <c r="B23" s="10">
        <f>B20+10*LOG(B21)</f>
        <v>120</v>
      </c>
      <c r="C23" s="2" t="s">
        <v>4</v>
      </c>
      <c r="D23" s="2"/>
      <c r="E23" s="2"/>
      <c r="F23" s="8"/>
      <c r="G23" s="33"/>
    </row>
    <row r="24" spans="1:7" ht="12.75">
      <c r="A24" s="6" t="s">
        <v>27</v>
      </c>
      <c r="B24" s="26">
        <f>B23-10*LOG(D22)</f>
        <v>84.43697499232712</v>
      </c>
      <c r="C24" s="2" t="s">
        <v>25</v>
      </c>
      <c r="D24" s="2"/>
      <c r="E24" s="2"/>
      <c r="F24" s="8"/>
      <c r="G24" s="33"/>
    </row>
    <row r="25" spans="1:7" ht="12.75">
      <c r="A25" s="6"/>
      <c r="B25" s="2"/>
      <c r="C25" s="2"/>
      <c r="D25" s="2"/>
      <c r="E25" s="2"/>
      <c r="F25" s="8"/>
      <c r="G25" s="33"/>
    </row>
    <row r="26" spans="1:7" ht="12.75">
      <c r="A26" s="19" t="s">
        <v>31</v>
      </c>
      <c r="B26" s="18"/>
      <c r="C26" s="18"/>
      <c r="D26" s="18"/>
      <c r="E26" s="18"/>
      <c r="F26" s="20"/>
      <c r="G26" s="33"/>
    </row>
    <row r="27" spans="1:7" ht="12.75">
      <c r="A27" s="6" t="s">
        <v>24</v>
      </c>
      <c r="B27" s="26">
        <f>B30-10*LOG(B28)</f>
        <v>70.62880815605052</v>
      </c>
      <c r="C27" s="2" t="s">
        <v>25</v>
      </c>
      <c r="D27" s="2"/>
      <c r="E27" s="2"/>
      <c r="F27" s="8"/>
      <c r="G27" s="33"/>
    </row>
    <row r="28" spans="1:7" ht="12.75">
      <c r="A28" s="6" t="s">
        <v>17</v>
      </c>
      <c r="B28" s="9">
        <v>1240</v>
      </c>
      <c r="C28" s="2"/>
      <c r="D28" s="2"/>
      <c r="E28" s="2"/>
      <c r="F28" s="8"/>
      <c r="G28" s="33"/>
    </row>
    <row r="29" spans="1:7" ht="12.75">
      <c r="A29" s="21" t="s">
        <v>28</v>
      </c>
      <c r="B29" s="9">
        <v>1</v>
      </c>
      <c r="C29" s="2" t="s">
        <v>29</v>
      </c>
      <c r="D29" s="10">
        <f>B29*3600</f>
        <v>3600</v>
      </c>
      <c r="E29" s="2" t="s">
        <v>2</v>
      </c>
      <c r="F29" s="8"/>
      <c r="G29" s="33"/>
    </row>
    <row r="30" spans="1:7" ht="12.75">
      <c r="A30" s="6" t="s">
        <v>26</v>
      </c>
      <c r="B30" s="26">
        <f>B31+10*LOG(D29)</f>
        <v>101.56302500767288</v>
      </c>
      <c r="C30" s="2" t="s">
        <v>4</v>
      </c>
      <c r="D30" s="2"/>
      <c r="E30" s="2"/>
      <c r="F30" s="8"/>
      <c r="G30" s="33"/>
    </row>
    <row r="31" spans="1:7" ht="12.75">
      <c r="A31" s="6" t="s">
        <v>27</v>
      </c>
      <c r="B31" s="9">
        <v>66</v>
      </c>
      <c r="C31" s="2" t="s">
        <v>25</v>
      </c>
      <c r="D31" s="2"/>
      <c r="E31" s="2"/>
      <c r="F31" s="8"/>
      <c r="G31" s="33"/>
    </row>
    <row r="32" spans="1:7" ht="13.5" thickBot="1">
      <c r="A32" s="11"/>
      <c r="B32" s="12"/>
      <c r="C32" s="12"/>
      <c r="D32" s="12"/>
      <c r="E32" s="12"/>
      <c r="F32" s="13"/>
      <c r="G32" s="33"/>
    </row>
    <row r="34" ht="13.5" thickBot="1"/>
    <row r="35" spans="1:14" ht="13.5" thickBot="1">
      <c r="A35" s="24" t="s">
        <v>58</v>
      </c>
      <c r="B35" s="29"/>
      <c r="C35" s="30"/>
      <c r="E35" s="24" t="s">
        <v>91</v>
      </c>
      <c r="F35" s="30"/>
      <c r="I35" s="24" t="s">
        <v>79</v>
      </c>
      <c r="J35" s="29"/>
      <c r="K35" s="29"/>
      <c r="L35" s="29"/>
      <c r="M35" s="29"/>
      <c r="N35" s="30"/>
    </row>
    <row r="36" spans="1:14" ht="12.75">
      <c r="A36" s="6"/>
      <c r="B36" s="2"/>
      <c r="C36" s="8"/>
      <c r="E36" s="6"/>
      <c r="F36" s="32" t="s">
        <v>86</v>
      </c>
      <c r="I36" s="6"/>
      <c r="J36" s="2"/>
      <c r="K36" s="2"/>
      <c r="L36" s="2"/>
      <c r="M36" s="2"/>
      <c r="N36" s="8"/>
    </row>
    <row r="37" spans="1:14" ht="12.75">
      <c r="A37" s="6" t="s">
        <v>60</v>
      </c>
      <c r="B37" s="9">
        <v>4</v>
      </c>
      <c r="C37" s="8" t="s">
        <v>0</v>
      </c>
      <c r="E37" s="6" t="s">
        <v>80</v>
      </c>
      <c r="F37" s="8">
        <v>0.05</v>
      </c>
      <c r="I37" s="6" t="s">
        <v>89</v>
      </c>
      <c r="J37" s="14" t="s">
        <v>10</v>
      </c>
      <c r="K37" s="2" t="s">
        <v>11</v>
      </c>
      <c r="L37" s="7" t="s">
        <v>12</v>
      </c>
      <c r="M37" s="2" t="s">
        <v>13</v>
      </c>
      <c r="N37" s="8"/>
    </row>
    <row r="38" spans="1:14" ht="12.75">
      <c r="A38" s="6" t="s">
        <v>61</v>
      </c>
      <c r="B38" s="9">
        <f>-B37</f>
        <v>-4</v>
      </c>
      <c r="C38" s="8" t="s">
        <v>0</v>
      </c>
      <c r="E38" s="6" t="s">
        <v>84</v>
      </c>
      <c r="F38" s="8">
        <v>0.1</v>
      </c>
      <c r="I38" s="6" t="s">
        <v>90</v>
      </c>
      <c r="J38" s="9">
        <v>10</v>
      </c>
      <c r="K38" s="9">
        <v>15</v>
      </c>
      <c r="L38" s="9">
        <v>7</v>
      </c>
      <c r="M38" s="10">
        <f>J38*K38*L38</f>
        <v>1050</v>
      </c>
      <c r="N38" s="8"/>
    </row>
    <row r="39" spans="1:14" ht="12.75">
      <c r="A39" s="6"/>
      <c r="B39" s="2"/>
      <c r="C39" s="8"/>
      <c r="E39" s="6" t="s">
        <v>81</v>
      </c>
      <c r="F39" s="8">
        <v>0.5</v>
      </c>
      <c r="I39" s="6"/>
      <c r="J39" s="2"/>
      <c r="K39" s="2"/>
      <c r="L39" s="2"/>
      <c r="M39" s="2"/>
      <c r="N39" s="8"/>
    </row>
    <row r="40" spans="1:14" ht="12.75">
      <c r="A40" s="6" t="s">
        <v>62</v>
      </c>
      <c r="B40" s="9">
        <v>0</v>
      </c>
      <c r="C40" s="8" t="s">
        <v>0</v>
      </c>
      <c r="E40" s="6" t="s">
        <v>82</v>
      </c>
      <c r="F40" s="8">
        <v>0.1</v>
      </c>
      <c r="I40" s="6"/>
      <c r="J40" s="27" t="s">
        <v>85</v>
      </c>
      <c r="K40" s="28" t="s">
        <v>86</v>
      </c>
      <c r="L40" s="2" t="s">
        <v>87</v>
      </c>
      <c r="M40" s="2"/>
      <c r="N40" s="8"/>
    </row>
    <row r="41" spans="1:14" ht="12.75">
      <c r="A41" s="6" t="s">
        <v>66</v>
      </c>
      <c r="B41" s="9">
        <v>12</v>
      </c>
      <c r="C41" s="8" t="s">
        <v>0</v>
      </c>
      <c r="E41" s="6" t="s">
        <v>83</v>
      </c>
      <c r="F41" s="8">
        <v>0.5</v>
      </c>
      <c r="I41" s="6" t="s">
        <v>80</v>
      </c>
      <c r="J41" s="10">
        <f>J38*K38</f>
        <v>150</v>
      </c>
      <c r="K41" s="2">
        <v>0.05</v>
      </c>
      <c r="L41" s="2">
        <f>K41*J41</f>
        <v>7.5</v>
      </c>
      <c r="M41" s="2"/>
      <c r="N41" s="8"/>
    </row>
    <row r="42" spans="1:14" ht="12.75">
      <c r="A42" s="6"/>
      <c r="B42" s="2"/>
      <c r="C42" s="8"/>
      <c r="E42" s="6"/>
      <c r="F42" s="8"/>
      <c r="I42" s="6" t="s">
        <v>84</v>
      </c>
      <c r="J42" s="10">
        <f>2*((K38*L38)+(J38*L38))-J44</f>
        <v>335</v>
      </c>
      <c r="K42" s="2">
        <v>0.1</v>
      </c>
      <c r="L42" s="2">
        <f>K42*J42</f>
        <v>33.5</v>
      </c>
      <c r="M42" s="2"/>
      <c r="N42" s="8"/>
    </row>
    <row r="43" spans="1:14" ht="12.75">
      <c r="A43" s="6" t="s">
        <v>64</v>
      </c>
      <c r="B43" s="9">
        <v>100</v>
      </c>
      <c r="C43" s="8" t="s">
        <v>4</v>
      </c>
      <c r="E43" s="6"/>
      <c r="F43" s="8"/>
      <c r="I43" s="6" t="s">
        <v>81</v>
      </c>
      <c r="J43" s="2">
        <v>192</v>
      </c>
      <c r="K43" s="2">
        <v>0.5</v>
      </c>
      <c r="L43" s="2">
        <f>K43*J43</f>
        <v>96</v>
      </c>
      <c r="M43" s="2"/>
      <c r="N43" s="8"/>
    </row>
    <row r="44" spans="1:14" ht="12.75">
      <c r="A44" s="6"/>
      <c r="B44" s="2"/>
      <c r="C44" s="8"/>
      <c r="E44" s="6"/>
      <c r="F44" s="8"/>
      <c r="I44" s="6" t="s">
        <v>82</v>
      </c>
      <c r="J44" s="2">
        <v>15</v>
      </c>
      <c r="K44" s="2">
        <v>0.1</v>
      </c>
      <c r="L44" s="2">
        <f>K44*J44</f>
        <v>1.5</v>
      </c>
      <c r="M44" s="2"/>
      <c r="N44" s="8"/>
    </row>
    <row r="45" spans="1:14" ht="12.75">
      <c r="A45" s="6" t="s">
        <v>63</v>
      </c>
      <c r="B45" s="9">
        <v>0.1</v>
      </c>
      <c r="C45" s="8"/>
      <c r="E45" s="6"/>
      <c r="F45" s="8"/>
      <c r="I45" s="6" t="s">
        <v>83</v>
      </c>
      <c r="J45" s="10">
        <f>J38*K38</f>
        <v>150</v>
      </c>
      <c r="K45" s="2">
        <v>0.5</v>
      </c>
      <c r="L45" s="2">
        <f>K45*J45</f>
        <v>75</v>
      </c>
      <c r="M45" s="2"/>
      <c r="N45" s="8"/>
    </row>
    <row r="46" spans="1:14" ht="12.75">
      <c r="A46" s="6"/>
      <c r="B46" s="2"/>
      <c r="C46" s="8"/>
      <c r="E46" s="6"/>
      <c r="F46" s="8"/>
      <c r="I46" s="6"/>
      <c r="J46" s="2"/>
      <c r="K46" s="2"/>
      <c r="L46" s="2"/>
      <c r="M46" s="2"/>
      <c r="N46" s="8"/>
    </row>
    <row r="47" spans="1:14" ht="12.75">
      <c r="A47" s="6" t="s">
        <v>67</v>
      </c>
      <c r="B47" s="10">
        <f>SQRT((B37-B40)^2+B41^2)</f>
        <v>12.649110640673518</v>
      </c>
      <c r="C47" s="8" t="s">
        <v>0</v>
      </c>
      <c r="E47" s="6"/>
      <c r="F47" s="8"/>
      <c r="I47" s="6"/>
      <c r="J47" s="2"/>
      <c r="K47" s="2" t="s">
        <v>88</v>
      </c>
      <c r="L47" s="2">
        <f>SUM(L41:L45)</f>
        <v>213.5</v>
      </c>
      <c r="M47" s="2" t="s">
        <v>1</v>
      </c>
      <c r="N47" s="8"/>
    </row>
    <row r="48" spans="1:14" ht="12.75">
      <c r="A48" s="6" t="s">
        <v>68</v>
      </c>
      <c r="B48" s="10">
        <f>SQRT((B37+B40)^2+B41^2)</f>
        <v>12.649110640673518</v>
      </c>
      <c r="C48" s="8" t="s">
        <v>0</v>
      </c>
      <c r="E48" s="6"/>
      <c r="F48" s="8"/>
      <c r="I48" s="6"/>
      <c r="J48" s="2"/>
      <c r="K48" s="2"/>
      <c r="L48" s="2"/>
      <c r="M48" s="2"/>
      <c r="N48" s="8"/>
    </row>
    <row r="49" spans="1:14" ht="12.75">
      <c r="A49" s="6"/>
      <c r="B49" s="2"/>
      <c r="C49" s="8"/>
      <c r="E49" s="6"/>
      <c r="F49" s="8"/>
      <c r="I49" s="6" t="s">
        <v>8</v>
      </c>
      <c r="J49" s="2">
        <f>0.16*(M38/L47)</f>
        <v>0.7868852459016393</v>
      </c>
      <c r="K49" s="2"/>
      <c r="L49" s="2"/>
      <c r="M49" s="2"/>
      <c r="N49" s="8"/>
    </row>
    <row r="50" spans="1:14" ht="13.5" thickBot="1">
      <c r="A50" s="6" t="s">
        <v>65</v>
      </c>
      <c r="B50" s="26">
        <f>B43-11-20*LOG(B47)</f>
        <v>66.95880017344075</v>
      </c>
      <c r="C50" s="8" t="s">
        <v>4</v>
      </c>
      <c r="E50" s="6"/>
      <c r="F50" s="8"/>
      <c r="I50" s="11"/>
      <c r="J50" s="12"/>
      <c r="K50" s="12"/>
      <c r="L50" s="12"/>
      <c r="M50" s="12"/>
      <c r="N50" s="13"/>
    </row>
    <row r="51" spans="1:14" ht="12.75">
      <c r="A51" s="6" t="s">
        <v>69</v>
      </c>
      <c r="B51" s="26">
        <f>B43+10*LOG(1-B45)-11-20*LOG(B48)</f>
        <v>66.501225267834</v>
      </c>
      <c r="C51" s="8" t="s">
        <v>4</v>
      </c>
      <c r="E51" s="6"/>
      <c r="F51" s="8"/>
      <c r="I51" s="2"/>
      <c r="J51" s="2"/>
      <c r="K51" s="2"/>
      <c r="L51" s="2"/>
      <c r="M51" s="2"/>
      <c r="N51" s="2"/>
    </row>
    <row r="52" spans="1:14" ht="15.75">
      <c r="A52" s="6"/>
      <c r="B52" s="2"/>
      <c r="C52" s="8"/>
      <c r="D52" s="25"/>
      <c r="E52" s="6"/>
      <c r="F52" s="8"/>
      <c r="I52" s="2"/>
      <c r="J52" s="2"/>
      <c r="K52" s="2"/>
      <c r="L52" s="2"/>
      <c r="M52" s="2"/>
      <c r="N52" s="2"/>
    </row>
    <row r="53" spans="1:6" ht="12.75">
      <c r="A53" s="6" t="s">
        <v>70</v>
      </c>
      <c r="B53" s="9">
        <v>340</v>
      </c>
      <c r="C53" s="8" t="s">
        <v>71</v>
      </c>
      <c r="E53" s="6"/>
      <c r="F53" s="8"/>
    </row>
    <row r="54" spans="1:6" ht="12.75">
      <c r="A54" s="6"/>
      <c r="B54" s="2"/>
      <c r="C54" s="8"/>
      <c r="E54" s="6"/>
      <c r="F54" s="8"/>
    </row>
    <row r="55" spans="1:6" ht="12.75">
      <c r="A55" s="6" t="s">
        <v>73</v>
      </c>
      <c r="B55" s="10">
        <f>B47/B53*1000</f>
        <v>37.20326659021623</v>
      </c>
      <c r="C55" s="8" t="s">
        <v>74</v>
      </c>
      <c r="E55" s="6"/>
      <c r="F55" s="8"/>
    </row>
    <row r="56" spans="1:6" ht="12.75">
      <c r="A56" s="6" t="s">
        <v>72</v>
      </c>
      <c r="B56" s="10">
        <f>B48/B53*1000</f>
        <v>37.20326659021623</v>
      </c>
      <c r="C56" s="8" t="s">
        <v>74</v>
      </c>
      <c r="E56" s="6"/>
      <c r="F56" s="8"/>
    </row>
    <row r="57" spans="1:6" ht="12.75">
      <c r="A57" s="6"/>
      <c r="B57" s="2"/>
      <c r="C57" s="8"/>
      <c r="E57" s="6"/>
      <c r="F57" s="8"/>
    </row>
    <row r="58" spans="1:6" ht="12.75">
      <c r="A58" s="31" t="s">
        <v>75</v>
      </c>
      <c r="B58" s="10">
        <f>B56-B55</f>
        <v>0</v>
      </c>
      <c r="C58" s="8" t="s">
        <v>74</v>
      </c>
      <c r="E58" s="6"/>
      <c r="F58" s="8"/>
    </row>
    <row r="59" spans="1:6" ht="12.75">
      <c r="A59" s="6"/>
      <c r="B59" s="2"/>
      <c r="C59" s="8"/>
      <c r="E59" s="6"/>
      <c r="F59" s="8"/>
    </row>
    <row r="60" spans="1:6" ht="12.75">
      <c r="A60" s="6"/>
      <c r="B60" s="2"/>
      <c r="C60" s="8"/>
      <c r="E60" s="6"/>
      <c r="F60" s="8"/>
    </row>
    <row r="61" spans="1:6" ht="12.75">
      <c r="A61" s="6" t="s">
        <v>76</v>
      </c>
      <c r="B61" s="26">
        <f>10*LOG(10^(B50/10)+10^(B51/10))</f>
        <v>69.74633618296905</v>
      </c>
      <c r="C61" s="8"/>
      <c r="E61" s="6"/>
      <c r="F61" s="8"/>
    </row>
    <row r="62" spans="1:6" ht="12.75">
      <c r="A62" s="6" t="s">
        <v>77</v>
      </c>
      <c r="B62" s="26">
        <f>20*LOG(10^(B50/20)+10^(B51/20))</f>
        <v>72.75362543106063</v>
      </c>
      <c r="C62" s="8"/>
      <c r="E62" s="6"/>
      <c r="F62" s="8"/>
    </row>
    <row r="63" spans="1:6" ht="12.75">
      <c r="A63" s="6" t="s">
        <v>78</v>
      </c>
      <c r="B63" s="26">
        <f>20*LOG(10^(B50/20)-10^(B51/20))</f>
        <v>41.16397491582095</v>
      </c>
      <c r="C63" s="8"/>
      <c r="E63" s="6"/>
      <c r="F63" s="8"/>
    </row>
    <row r="64" spans="1:6" ht="13.5" thickBot="1">
      <c r="A64" s="11"/>
      <c r="B64" s="12"/>
      <c r="C64" s="13"/>
      <c r="E64" s="11"/>
      <c r="F64" s="13"/>
    </row>
    <row r="66" ht="13.5" thickBot="1"/>
    <row r="67" spans="1:15" ht="13.5" thickBot="1">
      <c r="A67" s="24" t="s">
        <v>58</v>
      </c>
      <c r="B67" s="29"/>
      <c r="C67" s="30"/>
      <c r="M67" t="s">
        <v>94</v>
      </c>
      <c r="O67" t="s">
        <v>95</v>
      </c>
    </row>
    <row r="68" spans="1:3" ht="12.75">
      <c r="A68" s="6"/>
      <c r="B68" s="2"/>
      <c r="C68" s="8"/>
    </row>
    <row r="69" spans="1:15" ht="12.75">
      <c r="A69" s="6" t="s">
        <v>60</v>
      </c>
      <c r="B69" s="9">
        <v>0</v>
      </c>
      <c r="C69" s="8" t="s">
        <v>0</v>
      </c>
      <c r="J69">
        <v>125</v>
      </c>
      <c r="K69">
        <v>76</v>
      </c>
      <c r="L69" t="s">
        <v>4</v>
      </c>
      <c r="M69">
        <v>-16.1</v>
      </c>
      <c r="O69">
        <f aca="true" t="shared" si="0" ref="O69:O74">K69+M69</f>
        <v>59.9</v>
      </c>
    </row>
    <row r="70" spans="1:15" ht="12.75">
      <c r="A70" s="6" t="s">
        <v>61</v>
      </c>
      <c r="B70" s="9">
        <f>-B69</f>
        <v>0</v>
      </c>
      <c r="C70" s="8" t="s">
        <v>0</v>
      </c>
      <c r="J70">
        <v>250</v>
      </c>
      <c r="K70">
        <v>79</v>
      </c>
      <c r="L70" t="s">
        <v>4</v>
      </c>
      <c r="M70">
        <v>-8.6</v>
      </c>
      <c r="O70">
        <f t="shared" si="0"/>
        <v>70.4</v>
      </c>
    </row>
    <row r="71" spans="1:15" ht="12.75">
      <c r="A71" s="6"/>
      <c r="B71" s="2"/>
      <c r="C71" s="8"/>
      <c r="J71">
        <v>500</v>
      </c>
      <c r="K71">
        <v>71</v>
      </c>
      <c r="L71" t="s">
        <v>4</v>
      </c>
      <c r="M71">
        <v>-3.2</v>
      </c>
      <c r="O71">
        <f t="shared" si="0"/>
        <v>67.8</v>
      </c>
    </row>
    <row r="72" spans="1:15" ht="12.75">
      <c r="A72" s="6" t="s">
        <v>62</v>
      </c>
      <c r="B72" s="9">
        <v>1.5</v>
      </c>
      <c r="C72" s="8" t="s">
        <v>0</v>
      </c>
      <c r="J72">
        <v>1000</v>
      </c>
      <c r="K72">
        <v>69</v>
      </c>
      <c r="L72" t="s">
        <v>4</v>
      </c>
      <c r="M72">
        <v>0</v>
      </c>
      <c r="O72">
        <f t="shared" si="0"/>
        <v>69</v>
      </c>
    </row>
    <row r="73" spans="1:15" ht="12.75">
      <c r="A73" s="6" t="s">
        <v>66</v>
      </c>
      <c r="B73" s="9">
        <v>25</v>
      </c>
      <c r="C73" s="8" t="s">
        <v>0</v>
      </c>
      <c r="J73">
        <v>2000</v>
      </c>
      <c r="K73">
        <v>67</v>
      </c>
      <c r="L73" t="s">
        <v>4</v>
      </c>
      <c r="M73">
        <v>1.2</v>
      </c>
      <c r="O73">
        <f t="shared" si="0"/>
        <v>68.2</v>
      </c>
    </row>
    <row r="74" spans="1:15" ht="12.75">
      <c r="A74" s="6"/>
      <c r="B74" s="2"/>
      <c r="C74" s="8"/>
      <c r="J74">
        <v>4000</v>
      </c>
      <c r="K74">
        <v>69</v>
      </c>
      <c r="L74" t="s">
        <v>4</v>
      </c>
      <c r="M74">
        <v>1</v>
      </c>
      <c r="O74">
        <f t="shared" si="0"/>
        <v>70</v>
      </c>
    </row>
    <row r="75" spans="1:3" ht="12.75">
      <c r="A75" s="6" t="s">
        <v>64</v>
      </c>
      <c r="B75" s="9">
        <v>100</v>
      </c>
      <c r="C75" s="8" t="s">
        <v>4</v>
      </c>
    </row>
    <row r="76" spans="1:3" ht="12.75">
      <c r="A76" s="6"/>
      <c r="B76" s="2"/>
      <c r="C76" s="8"/>
    </row>
    <row r="77" spans="1:16" ht="12.75">
      <c r="A77" s="6" t="s">
        <v>63</v>
      </c>
      <c r="B77" s="9">
        <v>0.1</v>
      </c>
      <c r="C77" s="8"/>
      <c r="J77" t="s">
        <v>93</v>
      </c>
      <c r="K77">
        <f>10*LOG(10^(K69/10)+10^(K70/10)+10^(K71/10)+10^(K72/10)+10^(K73/10)+10^(K74/10))</f>
        <v>81.83927854069194</v>
      </c>
      <c r="L77" t="s">
        <v>4</v>
      </c>
      <c r="O77">
        <f>10*LOG(10^(O69/10)+10^(O70/10)+10^(O71/10)+10^(O72/10)+10^(O73/10)+10^(O74/10))</f>
        <v>76.28571110256078</v>
      </c>
      <c r="P77" t="s">
        <v>96</v>
      </c>
    </row>
    <row r="78" spans="1:3" ht="12.75">
      <c r="A78" s="6"/>
      <c r="B78" s="2"/>
      <c r="C78" s="8"/>
    </row>
    <row r="79" spans="1:3" ht="12.75">
      <c r="A79" s="6" t="s">
        <v>67</v>
      </c>
      <c r="B79" s="10">
        <f>SQRT((B69-B72)^2+B73^2)</f>
        <v>25.04495957273639</v>
      </c>
      <c r="C79" s="8" t="s">
        <v>0</v>
      </c>
    </row>
    <row r="80" spans="1:16" ht="12.75">
      <c r="A80" s="6" t="s">
        <v>68</v>
      </c>
      <c r="B80" s="10">
        <f>SQRT((B69+B72)^2+B73^2)</f>
        <v>25.04495957273639</v>
      </c>
      <c r="C80" s="8" t="s">
        <v>0</v>
      </c>
      <c r="I80" s="6" t="s">
        <v>3</v>
      </c>
      <c r="K80" s="9">
        <v>12</v>
      </c>
      <c r="L80" s="2" t="s">
        <v>0</v>
      </c>
      <c r="M80" s="2"/>
      <c r="N80" s="2"/>
      <c r="O80" s="9">
        <v>12</v>
      </c>
      <c r="P80" s="2" t="s">
        <v>0</v>
      </c>
    </row>
    <row r="81" spans="1:16" ht="12.75">
      <c r="A81" s="6"/>
      <c r="B81" s="2"/>
      <c r="C81" s="8"/>
      <c r="I81" s="6"/>
      <c r="K81" s="2"/>
      <c r="L81" s="2"/>
      <c r="M81" s="2"/>
      <c r="N81" s="2"/>
      <c r="O81" s="2"/>
      <c r="P81" s="2"/>
    </row>
    <row r="82" spans="1:16" ht="12.75">
      <c r="A82" s="6" t="s">
        <v>65</v>
      </c>
      <c r="B82" s="26">
        <f>B75-11-20*LOG(B79)</f>
        <v>61.025593300133515</v>
      </c>
      <c r="C82" s="8" t="s">
        <v>4</v>
      </c>
      <c r="I82" s="6" t="s">
        <v>6</v>
      </c>
      <c r="K82" s="9">
        <f>K77</f>
        <v>81.83927854069194</v>
      </c>
      <c r="L82" s="2" t="s">
        <v>4</v>
      </c>
      <c r="M82" s="2"/>
      <c r="N82" s="2"/>
      <c r="O82" s="9">
        <f>O77</f>
        <v>76.28571110256078</v>
      </c>
      <c r="P82" s="2" t="s">
        <v>4</v>
      </c>
    </row>
    <row r="83" spans="1:16" ht="12.75">
      <c r="A83" s="6" t="s">
        <v>69</v>
      </c>
      <c r="B83" s="26">
        <f>B75+10*LOG(1-B77)-11-20*LOG(B80)</f>
        <v>60.56801839452677</v>
      </c>
      <c r="C83" s="8" t="s">
        <v>4</v>
      </c>
      <c r="I83" s="6"/>
      <c r="K83" s="2"/>
      <c r="L83" s="2"/>
      <c r="M83" s="2"/>
      <c r="N83" s="2"/>
      <c r="O83" s="2"/>
      <c r="P83" s="2"/>
    </row>
    <row r="84" spans="1:16" ht="12.75">
      <c r="A84" s="6"/>
      <c r="B84" s="2"/>
      <c r="C84" s="8"/>
      <c r="I84" s="6"/>
      <c r="K84" s="9"/>
      <c r="L84" s="2"/>
      <c r="M84" s="2"/>
      <c r="N84" s="2"/>
      <c r="O84" s="9"/>
      <c r="P84" s="2"/>
    </row>
    <row r="85" spans="1:16" ht="12.75">
      <c r="A85" s="6" t="s">
        <v>70</v>
      </c>
      <c r="B85" s="9">
        <v>340</v>
      </c>
      <c r="C85" s="8" t="s">
        <v>71</v>
      </c>
      <c r="I85" s="6"/>
      <c r="K85" s="2"/>
      <c r="L85" s="2"/>
      <c r="M85" s="2"/>
      <c r="N85" s="2"/>
      <c r="O85" s="2"/>
      <c r="P85" s="2"/>
    </row>
    <row r="86" spans="1:16" ht="12.75">
      <c r="A86" s="6"/>
      <c r="B86" s="2"/>
      <c r="C86" s="8"/>
      <c r="I86" s="6" t="s">
        <v>7</v>
      </c>
      <c r="K86" s="9">
        <v>2</v>
      </c>
      <c r="L86" s="2"/>
      <c r="M86" s="2"/>
      <c r="N86" s="2"/>
      <c r="O86" s="9">
        <v>2</v>
      </c>
      <c r="P86" s="2"/>
    </row>
    <row r="87" spans="1:16" ht="12.75">
      <c r="A87" s="6" t="s">
        <v>73</v>
      </c>
      <c r="B87" s="10">
        <f>B79/B85*1000</f>
        <v>73.66164580216585</v>
      </c>
      <c r="C87" s="8" t="s">
        <v>74</v>
      </c>
      <c r="I87" s="6"/>
      <c r="K87" s="2"/>
      <c r="L87" s="2"/>
      <c r="M87" s="2"/>
      <c r="N87" s="2"/>
      <c r="O87" s="2"/>
      <c r="P87" s="2"/>
    </row>
    <row r="88" spans="1:16" ht="12.75">
      <c r="A88" s="6" t="s">
        <v>72</v>
      </c>
      <c r="B88" s="10">
        <f>B80/B85*1000</f>
        <v>73.66164580216585</v>
      </c>
      <c r="C88" s="8" t="s">
        <v>74</v>
      </c>
      <c r="I88" s="6" t="s">
        <v>5</v>
      </c>
      <c r="K88" s="26">
        <f>K82+10*LOG((K86/(4*PI()*(K80^2))))</f>
        <v>52.27385493615829</v>
      </c>
      <c r="L88" s="2" t="s">
        <v>4</v>
      </c>
      <c r="M88" s="2"/>
      <c r="N88" s="2"/>
      <c r="O88" s="26">
        <f>O82+10*LOG((O86/(4*PI()*(O80^2))))</f>
        <v>46.72028749802713</v>
      </c>
      <c r="P88" s="2" t="s">
        <v>4</v>
      </c>
    </row>
    <row r="89" spans="1:16" ht="12.75">
      <c r="A89" s="6"/>
      <c r="B89" s="2"/>
      <c r="C89" s="8"/>
      <c r="I89" s="6"/>
      <c r="K89" s="2"/>
      <c r="L89" s="2"/>
      <c r="M89" s="2"/>
      <c r="N89" s="2"/>
      <c r="O89" s="2"/>
      <c r="P89" s="2"/>
    </row>
    <row r="90" spans="1:16" ht="12.75">
      <c r="A90" s="31" t="s">
        <v>75</v>
      </c>
      <c r="B90" s="10">
        <f>B88-B87</f>
        <v>0</v>
      </c>
      <c r="C90" s="8" t="s">
        <v>74</v>
      </c>
      <c r="I90" s="6"/>
      <c r="K90" s="2"/>
      <c r="L90" s="2"/>
      <c r="M90" s="2"/>
      <c r="N90" s="2"/>
      <c r="O90" s="2"/>
      <c r="P90" s="2"/>
    </row>
    <row r="91" spans="1:16" ht="12.75">
      <c r="A91" s="6"/>
      <c r="B91" s="2"/>
      <c r="C91" s="8"/>
      <c r="I91" s="6"/>
      <c r="K91" s="33"/>
      <c r="L91" s="33"/>
      <c r="M91" s="33"/>
      <c r="N91" s="33"/>
      <c r="O91" s="33"/>
      <c r="P91" s="2"/>
    </row>
    <row r="92" spans="1:3" ht="12.75">
      <c r="A92" s="6"/>
      <c r="B92" s="2"/>
      <c r="C92" s="8"/>
    </row>
    <row r="93" spans="1:3" ht="12.75">
      <c r="A93" s="6" t="s">
        <v>76</v>
      </c>
      <c r="B93" s="26">
        <f>10*LOG(10^(B82/10)+10^(B83/10))</f>
        <v>63.81312930966181</v>
      </c>
      <c r="C93" s="8"/>
    </row>
    <row r="94" spans="1:3" ht="12.75">
      <c r="A94" s="6" t="s">
        <v>77</v>
      </c>
      <c r="B94" s="26">
        <f>20*LOG(10^(B82/20)+10^(B83/20))</f>
        <v>66.82041855775338</v>
      </c>
      <c r="C94" s="8"/>
    </row>
    <row r="95" spans="1:3" ht="12.75">
      <c r="A95" s="6" t="s">
        <v>78</v>
      </c>
      <c r="B95" s="26">
        <f>20*LOG(10^(B82/20)-10^(B83/20))</f>
        <v>35.23076804251354</v>
      </c>
      <c r="C95" s="8"/>
    </row>
    <row r="96" spans="1:3" ht="13.5" thickBot="1">
      <c r="A96" s="11"/>
      <c r="B96" s="12"/>
      <c r="C96" s="13"/>
    </row>
  </sheetData>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B3:K22"/>
  <sheetViews>
    <sheetView workbookViewId="0" topLeftCell="A1">
      <selection activeCell="H15" sqref="H15"/>
    </sheetView>
  </sheetViews>
  <sheetFormatPr defaultColWidth="9.140625" defaultRowHeight="12.75"/>
  <cols>
    <col min="2" max="2" width="15.28125" style="0" bestFit="1" customWidth="1"/>
  </cols>
  <sheetData>
    <row r="2" ht="13.5" thickBot="1"/>
    <row r="3" spans="2:11" ht="12.75" customHeight="1">
      <c r="B3" s="81" t="s">
        <v>161</v>
      </c>
      <c r="C3" s="82"/>
      <c r="D3" s="82"/>
      <c r="E3" s="82"/>
      <c r="F3" s="94"/>
      <c r="G3" s="61"/>
      <c r="H3" s="61"/>
      <c r="I3" s="61"/>
      <c r="J3" s="61"/>
      <c r="K3" s="61"/>
    </row>
    <row r="4" spans="2:11" ht="12.75">
      <c r="B4" s="95"/>
      <c r="C4" s="96"/>
      <c r="D4" s="96"/>
      <c r="E4" s="96"/>
      <c r="F4" s="97"/>
      <c r="G4" s="61"/>
      <c r="H4" s="61"/>
      <c r="I4" s="61"/>
      <c r="J4" s="61"/>
      <c r="K4" s="61"/>
    </row>
    <row r="5" spans="2:11" ht="12.75">
      <c r="B5" s="95"/>
      <c r="C5" s="96"/>
      <c r="D5" s="96"/>
      <c r="E5" s="96"/>
      <c r="F5" s="97"/>
      <c r="G5" s="61"/>
      <c r="H5" s="61"/>
      <c r="I5" s="61"/>
      <c r="J5" s="61"/>
      <c r="K5" s="61"/>
    </row>
    <row r="6" spans="2:11" ht="12.75">
      <c r="B6" s="95"/>
      <c r="C6" s="96"/>
      <c r="D6" s="96"/>
      <c r="E6" s="96"/>
      <c r="F6" s="97"/>
      <c r="G6" s="61"/>
      <c r="H6" s="61"/>
      <c r="I6" s="61"/>
      <c r="J6" s="61"/>
      <c r="K6" s="61"/>
    </row>
    <row r="7" spans="2:11" ht="12.75">
      <c r="B7" s="95"/>
      <c r="C7" s="96"/>
      <c r="D7" s="96"/>
      <c r="E7" s="96"/>
      <c r="F7" s="97"/>
      <c r="G7" s="61"/>
      <c r="H7" s="61"/>
      <c r="I7" s="61"/>
      <c r="J7" s="61"/>
      <c r="K7" s="61"/>
    </row>
    <row r="8" spans="2:11" ht="12.75">
      <c r="B8" s="95"/>
      <c r="C8" s="96"/>
      <c r="D8" s="96"/>
      <c r="E8" s="96"/>
      <c r="F8" s="97"/>
      <c r="G8" s="62"/>
      <c r="H8" s="62"/>
      <c r="I8" s="62"/>
      <c r="J8" s="62"/>
      <c r="K8" s="62"/>
    </row>
    <row r="9" spans="2:11" ht="12.75">
      <c r="B9" s="95"/>
      <c r="C9" s="96"/>
      <c r="D9" s="96"/>
      <c r="E9" s="96"/>
      <c r="F9" s="97"/>
      <c r="G9" s="62"/>
      <c r="H9" s="62"/>
      <c r="I9" s="62"/>
      <c r="J9" s="62"/>
      <c r="K9" s="62"/>
    </row>
    <row r="10" spans="2:11" ht="12.75">
      <c r="B10" s="95"/>
      <c r="C10" s="96"/>
      <c r="D10" s="96"/>
      <c r="E10" s="96"/>
      <c r="F10" s="97"/>
      <c r="G10" s="33"/>
      <c r="H10" s="33"/>
      <c r="I10" s="33"/>
      <c r="J10" s="33"/>
      <c r="K10" s="33"/>
    </row>
    <row r="11" spans="2:11" ht="13.5" thickBot="1">
      <c r="B11" s="98"/>
      <c r="C11" s="99"/>
      <c r="D11" s="99"/>
      <c r="E11" s="99"/>
      <c r="F11" s="100"/>
      <c r="G11" s="33"/>
      <c r="H11" s="33"/>
      <c r="I11" s="33"/>
      <c r="J11" s="33"/>
      <c r="K11" s="33"/>
    </row>
    <row r="12" spans="2:11" ht="12.75">
      <c r="B12" s="63"/>
      <c r="C12" s="64"/>
      <c r="D12" s="64"/>
      <c r="E12" s="64"/>
      <c r="F12" s="65"/>
      <c r="G12" s="33"/>
      <c r="H12" s="33"/>
      <c r="I12" s="33"/>
      <c r="J12" s="33"/>
      <c r="K12" s="33"/>
    </row>
    <row r="13" spans="2:6" ht="12.75">
      <c r="B13" s="101" t="s">
        <v>97</v>
      </c>
      <c r="C13" s="102"/>
      <c r="D13" s="9">
        <v>400</v>
      </c>
      <c r="E13" s="2"/>
      <c r="F13" s="8"/>
    </row>
    <row r="14" spans="2:6" ht="12.75">
      <c r="B14" s="101" t="s">
        <v>98</v>
      </c>
      <c r="C14" s="102"/>
      <c r="D14" s="9">
        <f>3</f>
        <v>3</v>
      </c>
      <c r="E14" s="2"/>
      <c r="F14" s="8"/>
    </row>
    <row r="15" spans="2:6" ht="12.75">
      <c r="B15" s="101" t="s">
        <v>99</v>
      </c>
      <c r="C15" s="102"/>
      <c r="D15" s="9">
        <f>80</f>
        <v>80</v>
      </c>
      <c r="E15" s="2"/>
      <c r="F15" s="8"/>
    </row>
    <row r="16" spans="2:6" ht="12.75">
      <c r="B16" s="101" t="s">
        <v>100</v>
      </c>
      <c r="C16" s="102"/>
      <c r="D16" s="9">
        <f>100</f>
        <v>100</v>
      </c>
      <c r="E16" s="2" t="s">
        <v>111</v>
      </c>
      <c r="F16" s="8"/>
    </row>
    <row r="17" spans="2:6" ht="12.75">
      <c r="B17" s="79" t="s">
        <v>101</v>
      </c>
      <c r="C17" s="80"/>
      <c r="D17" s="9">
        <f>0.3</f>
        <v>0.3</v>
      </c>
      <c r="E17" s="33"/>
      <c r="F17" s="8"/>
    </row>
    <row r="18" spans="2:6" ht="12.75">
      <c r="B18" s="79" t="s">
        <v>102</v>
      </c>
      <c r="C18" s="80"/>
      <c r="D18" s="26">
        <f>0.16*(D13/D14)</f>
        <v>21.333333333333336</v>
      </c>
      <c r="E18" s="33"/>
      <c r="F18" s="8"/>
    </row>
    <row r="19" spans="2:6" ht="12.75">
      <c r="B19" s="79" t="s">
        <v>103</v>
      </c>
      <c r="C19" s="80"/>
      <c r="D19" s="26">
        <f>(D17*D16)+D18</f>
        <v>51.333333333333336</v>
      </c>
      <c r="E19" s="33"/>
      <c r="F19" s="8"/>
    </row>
    <row r="20" spans="2:6" ht="12.75">
      <c r="B20" s="92" t="s">
        <v>104</v>
      </c>
      <c r="C20" s="93"/>
      <c r="D20" s="26">
        <f>D15+10*LOG(4/D18)</f>
        <v>72.73001272063738</v>
      </c>
      <c r="E20" s="33"/>
      <c r="F20" s="8"/>
    </row>
    <row r="21" spans="2:6" ht="12.75">
      <c r="B21" s="92" t="s">
        <v>136</v>
      </c>
      <c r="C21" s="93"/>
      <c r="D21" s="68">
        <f>10*LOG(D19/D18)</f>
        <v>3.8134074685257593</v>
      </c>
      <c r="E21" s="33"/>
      <c r="F21" s="8"/>
    </row>
    <row r="22" spans="2:6" ht="13.5" thickBot="1">
      <c r="B22" s="66"/>
      <c r="C22" s="67"/>
      <c r="D22" s="67"/>
      <c r="E22" s="67"/>
      <c r="F22" s="13"/>
    </row>
  </sheetData>
  <mergeCells count="10">
    <mergeCell ref="B3:F11"/>
    <mergeCell ref="B17:C17"/>
    <mergeCell ref="B16:C16"/>
    <mergeCell ref="B15:C15"/>
    <mergeCell ref="B14:C14"/>
    <mergeCell ref="B13:C13"/>
    <mergeCell ref="B21:C21"/>
    <mergeCell ref="B18:C18"/>
    <mergeCell ref="B20:C20"/>
    <mergeCell ref="B19:C19"/>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3:K16"/>
  <sheetViews>
    <sheetView workbookViewId="0" topLeftCell="A1">
      <selection activeCell="A15" sqref="A15"/>
    </sheetView>
  </sheetViews>
  <sheetFormatPr defaultColWidth="9.140625" defaultRowHeight="12.75"/>
  <sheetData>
    <row r="2" ht="13.5" thickBot="1"/>
    <row r="3" spans="2:11" ht="13.5" thickBot="1">
      <c r="B3" s="105" t="s">
        <v>14</v>
      </c>
      <c r="C3" s="106"/>
      <c r="D3" s="106"/>
      <c r="E3" s="106"/>
      <c r="F3" s="106"/>
      <c r="G3" s="106"/>
      <c r="H3" s="106"/>
      <c r="I3" s="106"/>
      <c r="J3" s="106"/>
      <c r="K3" s="107"/>
    </row>
    <row r="4" spans="2:11" ht="12.75">
      <c r="B4" s="3"/>
      <c r="C4" s="72"/>
      <c r="D4" s="72"/>
      <c r="E4" s="72"/>
      <c r="F4" s="4"/>
      <c r="G4" s="4"/>
      <c r="H4" s="4"/>
      <c r="I4" s="4"/>
      <c r="J4" s="4"/>
      <c r="K4" s="5"/>
    </row>
    <row r="5" spans="2:11" ht="12.75">
      <c r="B5" s="103" t="s">
        <v>141</v>
      </c>
      <c r="C5" s="104"/>
      <c r="D5" s="104"/>
      <c r="E5" s="104"/>
      <c r="F5" s="104"/>
      <c r="G5" s="34">
        <v>6.3496</v>
      </c>
      <c r="H5" s="33" t="s">
        <v>0</v>
      </c>
      <c r="I5" s="2"/>
      <c r="J5" s="2"/>
      <c r="K5" s="8"/>
    </row>
    <row r="6" spans="2:11" ht="12.75">
      <c r="B6" s="103" t="s">
        <v>142</v>
      </c>
      <c r="C6" s="104"/>
      <c r="D6" s="104"/>
      <c r="E6" s="104"/>
      <c r="F6" s="104"/>
      <c r="G6" s="34">
        <v>6.3496</v>
      </c>
      <c r="H6" s="33" t="s">
        <v>0</v>
      </c>
      <c r="I6" s="2"/>
      <c r="J6" s="2"/>
      <c r="K6" s="8"/>
    </row>
    <row r="7" spans="2:11" ht="12.75">
      <c r="B7" s="103" t="s">
        <v>143</v>
      </c>
      <c r="C7" s="104"/>
      <c r="D7" s="104"/>
      <c r="E7" s="104"/>
      <c r="F7" s="104"/>
      <c r="G7" s="34">
        <v>6.3496</v>
      </c>
      <c r="H7" s="33" t="s">
        <v>0</v>
      </c>
      <c r="I7" s="2"/>
      <c r="J7" s="2"/>
      <c r="K7" s="8"/>
    </row>
    <row r="8" spans="2:11" ht="12.75">
      <c r="B8" s="103" t="s">
        <v>146</v>
      </c>
      <c r="C8" s="104"/>
      <c r="D8" s="104"/>
      <c r="E8" s="104"/>
      <c r="F8" s="104"/>
      <c r="G8" s="35">
        <f>G5*G6*G7</f>
        <v>255.99949104793598</v>
      </c>
      <c r="H8" s="2" t="s">
        <v>140</v>
      </c>
      <c r="I8" s="2"/>
      <c r="J8" s="2"/>
      <c r="K8" s="8"/>
    </row>
    <row r="9" spans="2:11" ht="12.75">
      <c r="B9" s="103" t="s">
        <v>147</v>
      </c>
      <c r="C9" s="104"/>
      <c r="D9" s="104"/>
      <c r="E9" s="104"/>
      <c r="F9" s="104"/>
      <c r="G9" s="35">
        <f>(G5*G6*2)+(G6*G7*2)+(G5*G7*2)</f>
        <v>241.90452095999999</v>
      </c>
      <c r="H9" s="2" t="s">
        <v>111</v>
      </c>
      <c r="I9" s="2"/>
      <c r="J9" s="2"/>
      <c r="K9" s="8"/>
    </row>
    <row r="10" spans="2:11" ht="12.75">
      <c r="B10" s="103" t="s">
        <v>137</v>
      </c>
      <c r="C10" s="104"/>
      <c r="D10" s="104"/>
      <c r="E10" s="104"/>
      <c r="F10" s="104"/>
      <c r="G10" s="34">
        <v>8</v>
      </c>
      <c r="H10" s="2" t="s">
        <v>109</v>
      </c>
      <c r="I10" s="2"/>
      <c r="J10" s="2"/>
      <c r="K10" s="8"/>
    </row>
    <row r="11" spans="2:11" ht="12.75">
      <c r="B11" s="103" t="s">
        <v>138</v>
      </c>
      <c r="C11" s="104"/>
      <c r="D11" s="104"/>
      <c r="E11" s="104"/>
      <c r="F11" s="104"/>
      <c r="G11" s="34">
        <v>4</v>
      </c>
      <c r="H11" s="2" t="s">
        <v>109</v>
      </c>
      <c r="I11" s="2"/>
      <c r="J11" s="2"/>
      <c r="K11" s="8"/>
    </row>
    <row r="12" spans="2:11" ht="12.75">
      <c r="B12" s="103" t="s">
        <v>149</v>
      </c>
      <c r="C12" s="104"/>
      <c r="D12" s="104"/>
      <c r="E12" s="104"/>
      <c r="F12" s="104"/>
      <c r="G12" s="34">
        <v>10</v>
      </c>
      <c r="H12" s="2" t="s">
        <v>111</v>
      </c>
      <c r="I12" s="2"/>
      <c r="J12" s="2"/>
      <c r="K12" s="8"/>
    </row>
    <row r="13" spans="2:11" ht="12.75">
      <c r="B13" s="103" t="s">
        <v>144</v>
      </c>
      <c r="C13" s="104"/>
      <c r="D13" s="104"/>
      <c r="E13" s="104"/>
      <c r="F13" s="104"/>
      <c r="G13" s="35">
        <f>0.16*G8/G10</f>
        <v>5.11998982095872</v>
      </c>
      <c r="H13" s="108" t="s">
        <v>145</v>
      </c>
      <c r="I13" s="109"/>
      <c r="J13" s="2"/>
      <c r="K13" s="8"/>
    </row>
    <row r="14" spans="2:11" ht="12.75">
      <c r="B14" s="103" t="s">
        <v>9</v>
      </c>
      <c r="C14" s="104"/>
      <c r="D14" s="104"/>
      <c r="E14" s="104"/>
      <c r="F14" s="104"/>
      <c r="G14" s="70">
        <f>G13/G9</f>
        <v>0.021165333333333335</v>
      </c>
      <c r="H14" s="108" t="s">
        <v>148</v>
      </c>
      <c r="I14" s="109"/>
      <c r="J14" s="2"/>
      <c r="K14" s="8"/>
    </row>
    <row r="15" spans="2:11" ht="12.75">
      <c r="B15" s="103" t="s">
        <v>165</v>
      </c>
      <c r="C15" s="104"/>
      <c r="D15" s="104"/>
      <c r="E15" s="104"/>
      <c r="F15" s="104"/>
      <c r="G15" s="71">
        <f>(1/G12)*((0.16*G8/G11)-(G14*(G9-G12)))</f>
        <v>0.5331643154292054</v>
      </c>
      <c r="H15" s="108" t="s">
        <v>150</v>
      </c>
      <c r="I15" s="109"/>
      <c r="J15" s="109"/>
      <c r="K15" s="110"/>
    </row>
    <row r="16" spans="2:11" ht="13.5" thickBot="1">
      <c r="B16" s="11"/>
      <c r="C16" s="12"/>
      <c r="D16" s="12"/>
      <c r="E16" s="12"/>
      <c r="F16" s="12"/>
      <c r="G16" s="12"/>
      <c r="H16" s="12"/>
      <c r="I16" s="12"/>
      <c r="J16" s="12"/>
      <c r="K16" s="13"/>
    </row>
  </sheetData>
  <mergeCells count="15">
    <mergeCell ref="H13:I13"/>
    <mergeCell ref="H14:I14"/>
    <mergeCell ref="H15:K15"/>
    <mergeCell ref="B12:F12"/>
    <mergeCell ref="B13:F13"/>
    <mergeCell ref="B14:F14"/>
    <mergeCell ref="B15:F15"/>
    <mergeCell ref="B10:F10"/>
    <mergeCell ref="B11:F11"/>
    <mergeCell ref="B8:F8"/>
    <mergeCell ref="B3:K3"/>
    <mergeCell ref="B9:F9"/>
    <mergeCell ref="B5:F5"/>
    <mergeCell ref="B6:F6"/>
    <mergeCell ref="B7:F7"/>
  </mergeCell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3:L33"/>
  <sheetViews>
    <sheetView workbookViewId="0" topLeftCell="A1">
      <selection activeCell="F16" sqref="F16"/>
    </sheetView>
  </sheetViews>
  <sheetFormatPr defaultColWidth="9.140625" defaultRowHeight="12.75"/>
  <sheetData>
    <row r="2" ht="13.5" thickBot="1"/>
    <row r="3" spans="2:9" ht="12.75">
      <c r="B3" s="81" t="s">
        <v>157</v>
      </c>
      <c r="C3" s="82"/>
      <c r="D3" s="82"/>
      <c r="E3" s="82"/>
      <c r="F3" s="82"/>
      <c r="G3" s="82"/>
      <c r="H3" s="82"/>
      <c r="I3" s="94"/>
    </row>
    <row r="4" spans="2:9" ht="12.75">
      <c r="B4" s="95"/>
      <c r="C4" s="96"/>
      <c r="D4" s="96"/>
      <c r="E4" s="96"/>
      <c r="F4" s="96"/>
      <c r="G4" s="96"/>
      <c r="H4" s="96"/>
      <c r="I4" s="97"/>
    </row>
    <row r="5" spans="2:9" ht="12.75">
      <c r="B5" s="95"/>
      <c r="C5" s="96"/>
      <c r="D5" s="96"/>
      <c r="E5" s="96"/>
      <c r="F5" s="96"/>
      <c r="G5" s="96"/>
      <c r="H5" s="96"/>
      <c r="I5" s="97"/>
    </row>
    <row r="6" spans="2:9" ht="12.75">
      <c r="B6" s="95"/>
      <c r="C6" s="96"/>
      <c r="D6" s="96"/>
      <c r="E6" s="96"/>
      <c r="F6" s="96"/>
      <c r="G6" s="96"/>
      <c r="H6" s="96"/>
      <c r="I6" s="97"/>
    </row>
    <row r="7" spans="2:9" ht="12.75">
      <c r="B7" s="95"/>
      <c r="C7" s="96"/>
      <c r="D7" s="96"/>
      <c r="E7" s="96"/>
      <c r="F7" s="96"/>
      <c r="G7" s="96"/>
      <c r="H7" s="96"/>
      <c r="I7" s="97"/>
    </row>
    <row r="8" spans="2:9" ht="12.75">
      <c r="B8" s="95"/>
      <c r="C8" s="96"/>
      <c r="D8" s="96"/>
      <c r="E8" s="96"/>
      <c r="F8" s="96"/>
      <c r="G8" s="96"/>
      <c r="H8" s="96"/>
      <c r="I8" s="97"/>
    </row>
    <row r="9" spans="2:9" ht="13.5" thickBot="1">
      <c r="B9" s="98"/>
      <c r="C9" s="99"/>
      <c r="D9" s="99"/>
      <c r="E9" s="99"/>
      <c r="F9" s="99"/>
      <c r="G9" s="99"/>
      <c r="H9" s="99"/>
      <c r="I9" s="100"/>
    </row>
    <row r="10" spans="2:9" ht="12.75">
      <c r="B10" s="3"/>
      <c r="C10" s="4"/>
      <c r="D10" s="4"/>
      <c r="E10" s="4"/>
      <c r="F10" s="4"/>
      <c r="G10" s="4"/>
      <c r="H10" s="4"/>
      <c r="I10" s="5"/>
    </row>
    <row r="11" spans="2:9" ht="12.75">
      <c r="B11" s="103" t="s">
        <v>152</v>
      </c>
      <c r="C11" s="104"/>
      <c r="D11" s="104"/>
      <c r="E11" s="104"/>
      <c r="F11" s="34">
        <v>50</v>
      </c>
      <c r="G11" s="2" t="s">
        <v>4</v>
      </c>
      <c r="H11" s="2"/>
      <c r="I11" s="8"/>
    </row>
    <row r="12" spans="2:9" ht="12.75">
      <c r="B12" s="103" t="s">
        <v>153</v>
      </c>
      <c r="C12" s="104"/>
      <c r="D12" s="104"/>
      <c r="E12" s="104"/>
      <c r="F12" s="34">
        <v>20</v>
      </c>
      <c r="G12" s="2" t="s">
        <v>4</v>
      </c>
      <c r="H12" s="2"/>
      <c r="I12" s="8"/>
    </row>
    <row r="13" spans="2:9" ht="12.75">
      <c r="B13" s="103" t="s">
        <v>154</v>
      </c>
      <c r="C13" s="104"/>
      <c r="D13" s="104"/>
      <c r="E13" s="104"/>
      <c r="F13" s="34">
        <v>5</v>
      </c>
      <c r="G13" s="2" t="s">
        <v>4</v>
      </c>
      <c r="H13" s="2"/>
      <c r="I13" s="8"/>
    </row>
    <row r="14" spans="2:9" ht="12.75">
      <c r="B14" s="41" t="s">
        <v>182</v>
      </c>
      <c r="C14" s="36"/>
      <c r="D14" s="36"/>
      <c r="E14" s="36"/>
      <c r="F14" s="34">
        <v>10</v>
      </c>
      <c r="G14" s="33" t="s">
        <v>4</v>
      </c>
      <c r="H14" s="2"/>
      <c r="I14" s="8"/>
    </row>
    <row r="15" spans="2:9" ht="12.75">
      <c r="B15" s="103" t="s">
        <v>151</v>
      </c>
      <c r="C15" s="104"/>
      <c r="D15" s="104"/>
      <c r="E15" s="104"/>
      <c r="F15" s="69">
        <f>F11+F12+F13+F14</f>
        <v>85</v>
      </c>
      <c r="G15" s="2" t="s">
        <v>4</v>
      </c>
      <c r="H15" s="2"/>
      <c r="I15" s="8"/>
    </row>
    <row r="16" spans="2:9" ht="12.75">
      <c r="B16" s="103" t="s">
        <v>146</v>
      </c>
      <c r="C16" s="104"/>
      <c r="D16" s="104"/>
      <c r="E16" s="104"/>
      <c r="F16" s="34">
        <v>200</v>
      </c>
      <c r="G16" s="2" t="s">
        <v>140</v>
      </c>
      <c r="H16" s="2"/>
      <c r="I16" s="8"/>
    </row>
    <row r="17" spans="2:9" ht="12.75">
      <c r="B17" s="103" t="s">
        <v>156</v>
      </c>
      <c r="C17" s="104"/>
      <c r="D17" s="104"/>
      <c r="E17" s="104"/>
      <c r="F17" s="34">
        <v>45</v>
      </c>
      <c r="G17" s="2" t="s">
        <v>111</v>
      </c>
      <c r="H17" s="38"/>
      <c r="I17" s="74"/>
    </row>
    <row r="18" spans="2:9" ht="12.75">
      <c r="B18" s="103" t="s">
        <v>155</v>
      </c>
      <c r="C18" s="104"/>
      <c r="D18" s="104"/>
      <c r="E18" s="104"/>
      <c r="F18" s="73">
        <f>F15-(10*(LOG(4/F17)))</f>
        <v>95.51152522447381</v>
      </c>
      <c r="G18" s="2" t="s">
        <v>4</v>
      </c>
      <c r="H18" s="109" t="s">
        <v>159</v>
      </c>
      <c r="I18" s="110"/>
    </row>
    <row r="19" spans="2:9" ht="12.75">
      <c r="B19" s="103" t="s">
        <v>158</v>
      </c>
      <c r="C19" s="104"/>
      <c r="D19" s="104"/>
      <c r="E19" s="104"/>
      <c r="F19" s="35">
        <f>0.16*F16/F17</f>
        <v>0.7111111111111111</v>
      </c>
      <c r="G19" s="2" t="s">
        <v>109</v>
      </c>
      <c r="H19" s="109" t="s">
        <v>160</v>
      </c>
      <c r="I19" s="110"/>
    </row>
    <row r="20" spans="2:9" ht="13.5" thickBot="1">
      <c r="B20" s="75"/>
      <c r="C20" s="76"/>
      <c r="D20" s="76"/>
      <c r="E20" s="76"/>
      <c r="F20" s="12"/>
      <c r="G20" s="12"/>
      <c r="H20" s="12"/>
      <c r="I20" s="13"/>
    </row>
    <row r="21" spans="2:5" ht="13.5" thickBot="1">
      <c r="B21" s="37"/>
      <c r="C21" s="37"/>
      <c r="D21" s="37"/>
      <c r="E21" s="37"/>
    </row>
    <row r="22" spans="2:9" ht="12.75">
      <c r="B22" s="111" t="s">
        <v>163</v>
      </c>
      <c r="C22" s="112"/>
      <c r="D22" s="112"/>
      <c r="E22" s="112"/>
      <c r="F22" s="112"/>
      <c r="G22" s="112"/>
      <c r="H22" s="112"/>
      <c r="I22" s="113"/>
    </row>
    <row r="23" spans="2:9" ht="13.5" thickBot="1">
      <c r="B23" s="114"/>
      <c r="C23" s="115"/>
      <c r="D23" s="115"/>
      <c r="E23" s="115"/>
      <c r="F23" s="115"/>
      <c r="G23" s="115"/>
      <c r="H23" s="115"/>
      <c r="I23" s="116"/>
    </row>
    <row r="24" spans="2:9" ht="12.75">
      <c r="B24" s="3"/>
      <c r="C24" s="77"/>
      <c r="D24" s="4"/>
      <c r="E24" s="78"/>
      <c r="F24" s="4"/>
      <c r="G24" s="4"/>
      <c r="H24" s="4"/>
      <c r="I24" s="5"/>
    </row>
    <row r="25" spans="2:9" ht="12.75">
      <c r="B25" s="103" t="s">
        <v>139</v>
      </c>
      <c r="C25" s="104"/>
      <c r="D25" s="104"/>
      <c r="E25" s="104"/>
      <c r="F25" s="104"/>
      <c r="G25" s="34">
        <v>200</v>
      </c>
      <c r="H25" s="2"/>
      <c r="I25" s="8"/>
    </row>
    <row r="26" spans="2:9" ht="12.75">
      <c r="B26" s="103" t="s">
        <v>162</v>
      </c>
      <c r="C26" s="104"/>
      <c r="D26" s="104"/>
      <c r="E26" s="104"/>
      <c r="F26" s="104"/>
      <c r="G26" s="34">
        <v>280</v>
      </c>
      <c r="H26" s="2"/>
      <c r="I26" s="8"/>
    </row>
    <row r="27" spans="2:9" ht="12.75">
      <c r="B27" s="103" t="s">
        <v>168</v>
      </c>
      <c r="C27" s="104"/>
      <c r="D27" s="104"/>
      <c r="E27" s="104"/>
      <c r="F27" s="104"/>
      <c r="G27" s="34">
        <v>5</v>
      </c>
      <c r="H27" s="2" t="s">
        <v>0</v>
      </c>
      <c r="I27" s="8"/>
    </row>
    <row r="28" spans="2:9" ht="12.75">
      <c r="B28" s="103" t="s">
        <v>155</v>
      </c>
      <c r="C28" s="104"/>
      <c r="D28" s="104"/>
      <c r="E28" s="104"/>
      <c r="F28" s="104"/>
      <c r="G28" s="34">
        <v>50</v>
      </c>
      <c r="H28" s="2" t="s">
        <v>4</v>
      </c>
      <c r="I28" s="8"/>
    </row>
    <row r="29" spans="2:9" ht="12.75">
      <c r="B29" s="103" t="s">
        <v>166</v>
      </c>
      <c r="C29" s="104"/>
      <c r="D29" s="104"/>
      <c r="E29" s="104"/>
      <c r="F29" s="104"/>
      <c r="G29" s="34">
        <v>0.15</v>
      </c>
      <c r="H29" s="2"/>
      <c r="I29" s="8"/>
    </row>
    <row r="30" spans="2:9" ht="12.75">
      <c r="B30" s="103" t="s">
        <v>7</v>
      </c>
      <c r="C30" s="104"/>
      <c r="D30" s="104"/>
      <c r="E30" s="104"/>
      <c r="F30" s="104"/>
      <c r="G30" s="34">
        <v>1</v>
      </c>
      <c r="H30" s="2"/>
      <c r="I30" s="8"/>
    </row>
    <row r="31" spans="2:12" ht="12.75">
      <c r="B31" s="103" t="s">
        <v>167</v>
      </c>
      <c r="C31" s="104"/>
      <c r="D31" s="104"/>
      <c r="E31" s="104"/>
      <c r="F31" s="104"/>
      <c r="G31" s="35">
        <f>G28+10*LOG((G30/(4*PI()*(G27^2))+(4/(G29*G26))))</f>
        <v>39.93088629828989</v>
      </c>
      <c r="H31" s="2" t="s">
        <v>4</v>
      </c>
      <c r="I31" s="8"/>
      <c r="J31" s="117" t="s">
        <v>169</v>
      </c>
      <c r="K31" s="118"/>
      <c r="L31" s="118"/>
    </row>
    <row r="32" spans="2:12" ht="12.75">
      <c r="B32" s="103" t="s">
        <v>164</v>
      </c>
      <c r="C32" s="104"/>
      <c r="D32" s="104"/>
      <c r="E32" s="104"/>
      <c r="F32" s="104"/>
      <c r="G32" s="71">
        <f>0.16*(G25/(G29*G26))</f>
        <v>0.7619047619047619</v>
      </c>
      <c r="H32" s="2" t="s">
        <v>109</v>
      </c>
      <c r="I32" s="8"/>
      <c r="J32" s="117" t="s">
        <v>160</v>
      </c>
      <c r="K32" s="118"/>
      <c r="L32" s="118"/>
    </row>
    <row r="33" spans="2:9" ht="13.5" thickBot="1">
      <c r="B33" s="11"/>
      <c r="C33" s="12"/>
      <c r="D33" s="12"/>
      <c r="E33" s="12"/>
      <c r="F33" s="12"/>
      <c r="G33" s="12"/>
      <c r="H33" s="12"/>
      <c r="I33" s="13"/>
    </row>
  </sheetData>
  <mergeCells count="22">
    <mergeCell ref="B32:F32"/>
    <mergeCell ref="J31:L31"/>
    <mergeCell ref="J32:L32"/>
    <mergeCell ref="B29:F29"/>
    <mergeCell ref="B30:F30"/>
    <mergeCell ref="B31:F31"/>
    <mergeCell ref="B28:F28"/>
    <mergeCell ref="B27:F27"/>
    <mergeCell ref="B25:F25"/>
    <mergeCell ref="B26:F26"/>
    <mergeCell ref="B15:E15"/>
    <mergeCell ref="B18:E18"/>
    <mergeCell ref="B19:E19"/>
    <mergeCell ref="B22:I23"/>
    <mergeCell ref="B16:E16"/>
    <mergeCell ref="B17:E17"/>
    <mergeCell ref="H18:I18"/>
    <mergeCell ref="H19:I19"/>
    <mergeCell ref="B3:I9"/>
    <mergeCell ref="B11:E11"/>
    <mergeCell ref="B12:E12"/>
    <mergeCell ref="B13:E13"/>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3:H26"/>
  <sheetViews>
    <sheetView workbookViewId="0" topLeftCell="A1">
      <selection activeCell="D19" sqref="D19"/>
    </sheetView>
  </sheetViews>
  <sheetFormatPr defaultColWidth="9.140625" defaultRowHeight="12.75"/>
  <sheetData>
    <row r="2" ht="13.5" thickBot="1"/>
    <row r="3" spans="2:8" ht="12.75" customHeight="1">
      <c r="B3" s="81" t="s">
        <v>105</v>
      </c>
      <c r="C3" s="82"/>
      <c r="D3" s="82"/>
      <c r="E3" s="82"/>
      <c r="F3" s="82"/>
      <c r="G3" s="82"/>
      <c r="H3" s="94"/>
    </row>
    <row r="4" spans="2:8" ht="12.75">
      <c r="B4" s="95"/>
      <c r="C4" s="96"/>
      <c r="D4" s="96"/>
      <c r="E4" s="96"/>
      <c r="F4" s="96"/>
      <c r="G4" s="96"/>
      <c r="H4" s="97"/>
    </row>
    <row r="5" spans="2:8" ht="12.75">
      <c r="B5" s="95"/>
      <c r="C5" s="96"/>
      <c r="D5" s="96"/>
      <c r="E5" s="96"/>
      <c r="F5" s="96"/>
      <c r="G5" s="96"/>
      <c r="H5" s="97"/>
    </row>
    <row r="6" spans="2:8" ht="12.75">
      <c r="B6" s="95"/>
      <c r="C6" s="96"/>
      <c r="D6" s="96"/>
      <c r="E6" s="96"/>
      <c r="F6" s="96"/>
      <c r="G6" s="96"/>
      <c r="H6" s="97"/>
    </row>
    <row r="7" spans="2:8" ht="12.75">
      <c r="B7" s="95"/>
      <c r="C7" s="96"/>
      <c r="D7" s="96"/>
      <c r="E7" s="96"/>
      <c r="F7" s="96"/>
      <c r="G7" s="96"/>
      <c r="H7" s="97"/>
    </row>
    <row r="8" spans="2:8" ht="12.75">
      <c r="B8" s="95"/>
      <c r="C8" s="96"/>
      <c r="D8" s="96"/>
      <c r="E8" s="96"/>
      <c r="F8" s="96"/>
      <c r="G8" s="96"/>
      <c r="H8" s="97"/>
    </row>
    <row r="9" spans="2:8" ht="13.5" thickBot="1">
      <c r="B9" s="95"/>
      <c r="C9" s="96"/>
      <c r="D9" s="96"/>
      <c r="E9" s="96"/>
      <c r="F9" s="96"/>
      <c r="G9" s="96"/>
      <c r="H9" s="97"/>
    </row>
    <row r="10" spans="2:8" ht="12.75">
      <c r="B10" s="3"/>
      <c r="C10" s="4"/>
      <c r="D10" s="4"/>
      <c r="E10" s="4"/>
      <c r="F10" s="4"/>
      <c r="G10" s="4"/>
      <c r="H10" s="5"/>
    </row>
    <row r="11" spans="2:8" ht="12.75">
      <c r="B11" s="6"/>
      <c r="C11" s="2"/>
      <c r="D11" s="2"/>
      <c r="E11" s="2"/>
      <c r="F11" s="2"/>
      <c r="G11" s="2"/>
      <c r="H11" s="8"/>
    </row>
    <row r="12" spans="2:8" ht="12.75">
      <c r="B12" s="41" t="s">
        <v>106</v>
      </c>
      <c r="C12" s="36"/>
      <c r="D12" s="34">
        <v>85</v>
      </c>
      <c r="E12" s="1" t="s">
        <v>4</v>
      </c>
      <c r="F12" s="2"/>
      <c r="G12" s="2"/>
      <c r="H12" s="8"/>
    </row>
    <row r="13" spans="2:8" ht="12.75">
      <c r="B13" s="41" t="s">
        <v>118</v>
      </c>
      <c r="C13" s="36"/>
      <c r="D13" s="34">
        <v>55</v>
      </c>
      <c r="E13" s="1" t="s">
        <v>107</v>
      </c>
      <c r="F13" s="2"/>
      <c r="G13" s="2"/>
      <c r="H13" s="8"/>
    </row>
    <row r="14" spans="2:8" ht="12.75">
      <c r="B14" s="41" t="s">
        <v>108</v>
      </c>
      <c r="C14" s="36"/>
      <c r="D14" s="34">
        <v>1.4</v>
      </c>
      <c r="E14" s="1" t="s">
        <v>109</v>
      </c>
      <c r="F14" s="2"/>
      <c r="G14" s="2"/>
      <c r="H14" s="8"/>
    </row>
    <row r="15" spans="2:8" ht="12.75">
      <c r="B15" s="41" t="s">
        <v>117</v>
      </c>
      <c r="C15" s="36"/>
      <c r="D15" s="34">
        <v>12</v>
      </c>
      <c r="E15" s="1" t="s">
        <v>111</v>
      </c>
      <c r="F15" s="2"/>
      <c r="G15" s="2"/>
      <c r="H15" s="8"/>
    </row>
    <row r="16" spans="2:8" ht="12.75">
      <c r="B16" s="41" t="s">
        <v>116</v>
      </c>
      <c r="C16" s="36"/>
      <c r="D16" s="34">
        <v>46</v>
      </c>
      <c r="E16" s="1" t="s">
        <v>4</v>
      </c>
      <c r="F16" s="2"/>
      <c r="G16" s="2"/>
      <c r="H16" s="8"/>
    </row>
    <row r="17" spans="2:8" ht="12.75">
      <c r="B17" s="41" t="s">
        <v>110</v>
      </c>
      <c r="C17" s="36"/>
      <c r="D17" s="35">
        <f>0.16*D13/D14</f>
        <v>6.2857142857142865</v>
      </c>
      <c r="E17" s="1" t="s">
        <v>111</v>
      </c>
      <c r="F17" s="108" t="s">
        <v>112</v>
      </c>
      <c r="G17" s="109"/>
      <c r="H17" s="8"/>
    </row>
    <row r="18" spans="2:8" ht="12.75">
      <c r="B18" s="41" t="s">
        <v>113</v>
      </c>
      <c r="C18" s="36"/>
      <c r="D18" s="35">
        <f>D12-(10*LOG(4/D17))</f>
        <v>86.96294645143968</v>
      </c>
      <c r="E18" s="1" t="s">
        <v>4</v>
      </c>
      <c r="F18" s="108" t="s">
        <v>114</v>
      </c>
      <c r="G18" s="109"/>
      <c r="H18" s="8"/>
    </row>
    <row r="19" spans="2:8" ht="12.75">
      <c r="B19" s="41" t="s">
        <v>115</v>
      </c>
      <c r="C19" s="36"/>
      <c r="D19" s="35">
        <f>D12-D16+(10*LOG(D15/D17))</f>
        <v>41.80826609575694</v>
      </c>
      <c r="E19" s="1" t="s">
        <v>4</v>
      </c>
      <c r="F19" s="108" t="s">
        <v>119</v>
      </c>
      <c r="G19" s="109"/>
      <c r="H19" s="8"/>
    </row>
    <row r="20" spans="2:8" ht="13.5" thickBot="1">
      <c r="B20" s="39"/>
      <c r="C20" s="40"/>
      <c r="D20" s="12"/>
      <c r="E20" s="12"/>
      <c r="F20" s="40"/>
      <c r="G20" s="40"/>
      <c r="H20" s="13"/>
    </row>
    <row r="22" spans="2:7" ht="12.75">
      <c r="B22" s="38"/>
      <c r="C22" s="38"/>
      <c r="D22" s="2"/>
      <c r="E22" s="2"/>
      <c r="F22" s="38"/>
      <c r="G22" s="38"/>
    </row>
    <row r="23" spans="2:7" ht="12.75">
      <c r="B23" s="38"/>
      <c r="C23" s="38"/>
      <c r="D23" s="2"/>
      <c r="E23" s="2"/>
      <c r="F23" s="2"/>
      <c r="G23" s="2"/>
    </row>
    <row r="24" spans="2:7" ht="12.75">
      <c r="B24" s="38"/>
      <c r="C24" s="38"/>
      <c r="D24" s="2"/>
      <c r="E24" s="2"/>
      <c r="F24" s="2"/>
      <c r="G24" s="2"/>
    </row>
    <row r="25" spans="2:3" ht="12.75">
      <c r="B25" s="37"/>
      <c r="C25" s="37"/>
    </row>
    <row r="26" spans="2:3" ht="12.75">
      <c r="B26" s="37"/>
      <c r="C26" s="37"/>
    </row>
  </sheetData>
  <mergeCells count="4">
    <mergeCell ref="B3:H9"/>
    <mergeCell ref="F17:G17"/>
    <mergeCell ref="F18:G18"/>
    <mergeCell ref="F19:G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3:L21"/>
  <sheetViews>
    <sheetView workbookViewId="0" topLeftCell="A1">
      <selection activeCell="F22" sqref="F22"/>
    </sheetView>
  </sheetViews>
  <sheetFormatPr defaultColWidth="9.140625" defaultRowHeight="12.75"/>
  <cols>
    <col min="5" max="5" width="9.8515625" style="0" customWidth="1"/>
  </cols>
  <sheetData>
    <row r="2" ht="13.5" thickBot="1"/>
    <row r="3" spans="2:8" ht="12.75">
      <c r="B3" s="81" t="s">
        <v>127</v>
      </c>
      <c r="C3" s="82"/>
      <c r="D3" s="82"/>
      <c r="E3" s="82"/>
      <c r="F3" s="82"/>
      <c r="G3" s="82"/>
      <c r="H3" s="94"/>
    </row>
    <row r="4" spans="2:8" ht="12.75">
      <c r="B4" s="95"/>
      <c r="C4" s="96"/>
      <c r="D4" s="96"/>
      <c r="E4" s="96"/>
      <c r="F4" s="96"/>
      <c r="G4" s="96"/>
      <c r="H4" s="97"/>
    </row>
    <row r="5" spans="2:8" ht="12.75">
      <c r="B5" s="95"/>
      <c r="C5" s="96"/>
      <c r="D5" s="96"/>
      <c r="E5" s="96"/>
      <c r="F5" s="96"/>
      <c r="G5" s="96"/>
      <c r="H5" s="97"/>
    </row>
    <row r="6" spans="2:8" ht="12.75">
      <c r="B6" s="95"/>
      <c r="C6" s="96"/>
      <c r="D6" s="96"/>
      <c r="E6" s="96"/>
      <c r="F6" s="96"/>
      <c r="G6" s="96"/>
      <c r="H6" s="97"/>
    </row>
    <row r="7" spans="2:8" ht="12.75">
      <c r="B7" s="95"/>
      <c r="C7" s="96"/>
      <c r="D7" s="96"/>
      <c r="E7" s="96"/>
      <c r="F7" s="96"/>
      <c r="G7" s="96"/>
      <c r="H7" s="97"/>
    </row>
    <row r="8" spans="2:8" ht="13.5" thickBot="1">
      <c r="B8" s="98"/>
      <c r="C8" s="99"/>
      <c r="D8" s="99"/>
      <c r="E8" s="99"/>
      <c r="F8" s="99"/>
      <c r="G8" s="99"/>
      <c r="H8" s="100"/>
    </row>
    <row r="9" spans="2:8" ht="12.75">
      <c r="B9" s="3"/>
      <c r="C9" s="4"/>
      <c r="D9" s="4"/>
      <c r="E9" s="4"/>
      <c r="F9" s="4"/>
      <c r="G9" s="4"/>
      <c r="H9" s="5"/>
    </row>
    <row r="10" spans="2:8" ht="12.75">
      <c r="B10" s="6"/>
      <c r="C10" s="104" t="s">
        <v>120</v>
      </c>
      <c r="D10" s="104"/>
      <c r="E10" s="104"/>
      <c r="F10" s="34">
        <v>1.5</v>
      </c>
      <c r="G10" s="1" t="s">
        <v>0</v>
      </c>
      <c r="H10" s="8"/>
    </row>
    <row r="11" spans="2:8" ht="12.75">
      <c r="B11" s="6"/>
      <c r="C11" s="104" t="s">
        <v>121</v>
      </c>
      <c r="D11" s="104"/>
      <c r="E11" s="104"/>
      <c r="F11" s="34">
        <v>86</v>
      </c>
      <c r="G11" s="1" t="s">
        <v>4</v>
      </c>
      <c r="H11" s="8"/>
    </row>
    <row r="12" spans="2:8" ht="12.75">
      <c r="B12" s="6"/>
      <c r="C12" s="104" t="s">
        <v>122</v>
      </c>
      <c r="D12" s="104"/>
      <c r="E12" s="104"/>
      <c r="F12" s="34">
        <v>18</v>
      </c>
      <c r="G12" s="1" t="s">
        <v>0</v>
      </c>
      <c r="H12" s="8"/>
    </row>
    <row r="13" spans="2:12" ht="12.75">
      <c r="B13" s="6"/>
      <c r="C13" s="119" t="s">
        <v>113</v>
      </c>
      <c r="D13" s="120"/>
      <c r="E13" s="121"/>
      <c r="F13" s="35">
        <f>F11+11+(20*LOG(F10))</f>
        <v>100.52182518111363</v>
      </c>
      <c r="G13" s="1" t="s">
        <v>4</v>
      </c>
      <c r="H13" s="8"/>
      <c r="I13" s="117" t="s">
        <v>132</v>
      </c>
      <c r="J13" s="118"/>
      <c r="K13" s="118"/>
      <c r="L13" s="118"/>
    </row>
    <row r="14" spans="2:12" ht="12.75">
      <c r="B14" s="6"/>
      <c r="C14" s="104" t="s">
        <v>123</v>
      </c>
      <c r="D14" s="104"/>
      <c r="E14" s="104"/>
      <c r="F14" s="35">
        <f>F13-11-(20*LOG(F12))</f>
        <v>64.4163750790475</v>
      </c>
      <c r="G14" s="1" t="s">
        <v>4</v>
      </c>
      <c r="H14" s="8"/>
      <c r="I14" s="117" t="s">
        <v>131</v>
      </c>
      <c r="J14" s="118"/>
      <c r="K14" s="118"/>
      <c r="L14" s="118"/>
    </row>
    <row r="15" spans="2:12" ht="12.75">
      <c r="B15" s="6"/>
      <c r="C15" s="122" t="s">
        <v>124</v>
      </c>
      <c r="D15" s="122"/>
      <c r="E15" s="122"/>
      <c r="F15" s="122"/>
      <c r="G15" s="122"/>
      <c r="H15" s="8"/>
      <c r="I15" s="43"/>
      <c r="J15" s="37"/>
      <c r="K15" s="37"/>
      <c r="L15" s="37"/>
    </row>
    <row r="16" spans="2:12" ht="12.75">
      <c r="B16" s="6"/>
      <c r="C16" s="119" t="s">
        <v>126</v>
      </c>
      <c r="D16" s="120"/>
      <c r="E16" s="121"/>
      <c r="F16" s="42">
        <v>7</v>
      </c>
      <c r="G16" s="36" t="s">
        <v>0</v>
      </c>
      <c r="H16" s="8"/>
      <c r="I16" s="43"/>
      <c r="J16" s="37"/>
      <c r="K16" s="37"/>
      <c r="L16" s="37"/>
    </row>
    <row r="17" spans="2:12" ht="12.75">
      <c r="B17" s="6"/>
      <c r="C17" s="119" t="s">
        <v>129</v>
      </c>
      <c r="D17" s="120"/>
      <c r="E17" s="121"/>
      <c r="F17" s="42">
        <v>0.5</v>
      </c>
      <c r="G17" s="36"/>
      <c r="H17" s="8"/>
      <c r="I17" s="43"/>
      <c r="J17" s="37"/>
      <c r="K17" s="37"/>
      <c r="L17" s="37"/>
    </row>
    <row r="18" spans="2:12" ht="12.75">
      <c r="B18" s="6"/>
      <c r="C18" s="104" t="s">
        <v>125</v>
      </c>
      <c r="D18" s="104"/>
      <c r="E18" s="104"/>
      <c r="F18" s="35">
        <f>((F12^2)+((F16*2)^2))^0.5</f>
        <v>22.80350850198276</v>
      </c>
      <c r="G18" s="36" t="s">
        <v>0</v>
      </c>
      <c r="H18" s="8"/>
      <c r="I18" s="117" t="s">
        <v>133</v>
      </c>
      <c r="J18" s="118"/>
      <c r="K18" s="118"/>
      <c r="L18" s="118"/>
    </row>
    <row r="19" spans="2:12" ht="12.75">
      <c r="B19" s="6"/>
      <c r="C19" s="104" t="s">
        <v>128</v>
      </c>
      <c r="D19" s="104"/>
      <c r="E19" s="104"/>
      <c r="F19" s="35">
        <f>F13-11-(20*LOG(F18))+(10*LOG(1-F17))</f>
        <v>59.35149178812583</v>
      </c>
      <c r="G19" s="36" t="s">
        <v>4</v>
      </c>
      <c r="H19" s="8"/>
      <c r="I19" s="117" t="s">
        <v>134</v>
      </c>
      <c r="J19" s="118"/>
      <c r="K19" s="118"/>
      <c r="L19" s="118"/>
    </row>
    <row r="20" spans="2:12" ht="12.75">
      <c r="B20" s="6"/>
      <c r="C20" s="104" t="s">
        <v>130</v>
      </c>
      <c r="D20" s="104"/>
      <c r="E20" s="104"/>
      <c r="F20" s="35">
        <f>10*LOG((10^(F14/10))+(10^(F19/10)))</f>
        <v>65.5941853892643</v>
      </c>
      <c r="G20" s="36" t="s">
        <v>4</v>
      </c>
      <c r="H20" s="8"/>
      <c r="I20" s="117" t="s">
        <v>135</v>
      </c>
      <c r="J20" s="118"/>
      <c r="K20" s="118"/>
      <c r="L20" s="118"/>
    </row>
    <row r="21" spans="2:8" ht="13.5" thickBot="1">
      <c r="B21" s="11"/>
      <c r="C21" s="12"/>
      <c r="D21" s="12"/>
      <c r="E21" s="12"/>
      <c r="F21" s="12"/>
      <c r="G21" s="12"/>
      <c r="H21" s="13"/>
    </row>
  </sheetData>
  <mergeCells count="17">
    <mergeCell ref="I18:L18"/>
    <mergeCell ref="I19:L19"/>
    <mergeCell ref="I20:L20"/>
    <mergeCell ref="I13:L13"/>
    <mergeCell ref="I14:L14"/>
    <mergeCell ref="B3:H8"/>
    <mergeCell ref="C10:E10"/>
    <mergeCell ref="C11:E11"/>
    <mergeCell ref="C12:E12"/>
    <mergeCell ref="C20:E20"/>
    <mergeCell ref="C14:E14"/>
    <mergeCell ref="C13:E13"/>
    <mergeCell ref="C15:G15"/>
    <mergeCell ref="C16:E16"/>
    <mergeCell ref="C17:E17"/>
    <mergeCell ref="C18:E18"/>
    <mergeCell ref="C19:E19"/>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B3:I28"/>
  <sheetViews>
    <sheetView workbookViewId="0" topLeftCell="A1">
      <selection activeCell="B20" sqref="B20"/>
    </sheetView>
  </sheetViews>
  <sheetFormatPr defaultColWidth="9.140625" defaultRowHeight="12.75"/>
  <cols>
    <col min="2" max="2" width="87.28125" style="0" customWidth="1"/>
  </cols>
  <sheetData>
    <row r="2" ht="13.5" thickBot="1"/>
    <row r="3" spans="2:9" ht="13.5" thickBot="1">
      <c r="B3" s="24" t="s">
        <v>48</v>
      </c>
      <c r="C3" s="15"/>
      <c r="D3" s="15"/>
      <c r="E3" s="15"/>
      <c r="F3" s="15"/>
      <c r="G3" s="15"/>
      <c r="H3" s="15"/>
      <c r="I3" s="16"/>
    </row>
    <row r="4" spans="2:9" ht="12.75">
      <c r="B4" s="3"/>
      <c r="C4" s="4"/>
      <c r="D4" s="4"/>
      <c r="E4" s="4"/>
      <c r="F4" s="4"/>
      <c r="G4" s="4"/>
      <c r="H4" s="4"/>
      <c r="I4" s="5"/>
    </row>
    <row r="5" spans="2:9" ht="12.75">
      <c r="B5" s="49" t="s">
        <v>33</v>
      </c>
      <c r="C5" s="34"/>
      <c r="D5" s="34"/>
      <c r="E5" s="34" t="s">
        <v>32</v>
      </c>
      <c r="F5" s="34"/>
      <c r="G5" s="34"/>
      <c r="H5" s="34"/>
      <c r="I5" s="50"/>
    </row>
    <row r="6" spans="2:9" ht="12.75">
      <c r="B6" s="51"/>
      <c r="C6" s="22">
        <v>125</v>
      </c>
      <c r="D6" s="22">
        <v>250</v>
      </c>
      <c r="E6" s="22">
        <v>500</v>
      </c>
      <c r="F6" s="22">
        <v>1000</v>
      </c>
      <c r="G6" s="22">
        <v>2000</v>
      </c>
      <c r="H6" s="22">
        <v>4000</v>
      </c>
      <c r="I6" s="52" t="s">
        <v>34</v>
      </c>
    </row>
    <row r="7" spans="2:9" ht="12.75">
      <c r="B7" s="44" t="s">
        <v>35</v>
      </c>
      <c r="C7" s="1">
        <v>34</v>
      </c>
      <c r="D7" s="1">
        <v>35</v>
      </c>
      <c r="E7" s="1">
        <v>40</v>
      </c>
      <c r="F7" s="1">
        <v>50</v>
      </c>
      <c r="G7" s="1">
        <v>55</v>
      </c>
      <c r="H7" s="1">
        <v>57</v>
      </c>
      <c r="I7" s="45">
        <v>45</v>
      </c>
    </row>
    <row r="8" spans="2:9" ht="12.75">
      <c r="B8" s="44" t="s">
        <v>36</v>
      </c>
      <c r="C8" s="1">
        <v>40</v>
      </c>
      <c r="D8" s="1">
        <v>44</v>
      </c>
      <c r="E8" s="1">
        <v>50</v>
      </c>
      <c r="F8" s="1">
        <v>56</v>
      </c>
      <c r="G8" s="1">
        <v>57</v>
      </c>
      <c r="H8" s="1">
        <v>57</v>
      </c>
      <c r="I8" s="45">
        <v>54</v>
      </c>
    </row>
    <row r="9" spans="2:9" ht="12.75">
      <c r="B9" s="44" t="s">
        <v>37</v>
      </c>
      <c r="C9" s="1">
        <v>37</v>
      </c>
      <c r="D9" s="1">
        <v>43</v>
      </c>
      <c r="E9" s="1">
        <v>52</v>
      </c>
      <c r="F9" s="1">
        <v>60</v>
      </c>
      <c r="G9" s="1">
        <v>64</v>
      </c>
      <c r="H9" s="1">
        <v>65</v>
      </c>
      <c r="I9" s="45">
        <v>57</v>
      </c>
    </row>
    <row r="10" spans="2:9" ht="12.75">
      <c r="B10" s="44" t="s">
        <v>38</v>
      </c>
      <c r="C10" s="1">
        <v>40</v>
      </c>
      <c r="D10" s="1">
        <v>42</v>
      </c>
      <c r="E10" s="1">
        <v>50</v>
      </c>
      <c r="F10" s="1">
        <v>58</v>
      </c>
      <c r="G10" s="1">
        <v>66</v>
      </c>
      <c r="H10" s="1">
        <v>68</v>
      </c>
      <c r="I10" s="45">
        <v>54</v>
      </c>
    </row>
    <row r="11" spans="2:9" ht="12.75">
      <c r="B11" s="44" t="s">
        <v>39</v>
      </c>
      <c r="C11" s="1">
        <v>37</v>
      </c>
      <c r="D11" s="1">
        <v>40</v>
      </c>
      <c r="E11" s="1">
        <v>44</v>
      </c>
      <c r="F11" s="1">
        <v>50</v>
      </c>
      <c r="G11" s="1">
        <v>56</v>
      </c>
      <c r="H11" s="1">
        <v>62</v>
      </c>
      <c r="I11" s="45">
        <v>49</v>
      </c>
    </row>
    <row r="12" spans="2:9" ht="12.75">
      <c r="B12" s="44" t="s">
        <v>40</v>
      </c>
      <c r="C12" s="1">
        <v>37</v>
      </c>
      <c r="D12" s="1">
        <v>40</v>
      </c>
      <c r="E12" s="1">
        <v>50</v>
      </c>
      <c r="F12" s="1">
        <v>54</v>
      </c>
      <c r="G12" s="1">
        <v>56</v>
      </c>
      <c r="H12" s="1">
        <v>63</v>
      </c>
      <c r="I12" s="45">
        <v>52</v>
      </c>
    </row>
    <row r="13" spans="2:9" ht="12.75">
      <c r="B13" s="60" t="s">
        <v>43</v>
      </c>
      <c r="C13" s="1">
        <v>26</v>
      </c>
      <c r="D13" s="1">
        <v>28</v>
      </c>
      <c r="E13" s="1">
        <v>30</v>
      </c>
      <c r="F13" s="1">
        <v>31</v>
      </c>
      <c r="G13" s="1">
        <v>42</v>
      </c>
      <c r="H13" s="1">
        <v>47</v>
      </c>
      <c r="I13" s="45">
        <v>33</v>
      </c>
    </row>
    <row r="14" spans="2:9" ht="12.75">
      <c r="B14" s="44" t="s">
        <v>44</v>
      </c>
      <c r="C14" s="1">
        <v>31</v>
      </c>
      <c r="D14" s="1">
        <v>30</v>
      </c>
      <c r="E14" s="1">
        <v>29</v>
      </c>
      <c r="F14" s="1">
        <v>35</v>
      </c>
      <c r="G14" s="1">
        <v>45</v>
      </c>
      <c r="H14" s="1">
        <v>52</v>
      </c>
      <c r="I14" s="45">
        <v>34</v>
      </c>
    </row>
    <row r="15" spans="2:9" ht="12.75">
      <c r="B15" s="44" t="s">
        <v>45</v>
      </c>
      <c r="C15" s="1">
        <v>15</v>
      </c>
      <c r="D15" s="1">
        <v>22</v>
      </c>
      <c r="E15" s="1">
        <v>26</v>
      </c>
      <c r="F15" s="1">
        <v>27</v>
      </c>
      <c r="G15" s="1">
        <v>33</v>
      </c>
      <c r="H15" s="1">
        <v>35</v>
      </c>
      <c r="I15" s="45">
        <v>29</v>
      </c>
    </row>
    <row r="16" spans="2:9" ht="12.75">
      <c r="B16" s="44" t="s">
        <v>46</v>
      </c>
      <c r="C16" s="1">
        <v>17</v>
      </c>
      <c r="D16" s="1">
        <v>20</v>
      </c>
      <c r="E16" s="1">
        <v>25</v>
      </c>
      <c r="F16" s="1">
        <v>24</v>
      </c>
      <c r="G16" s="1">
        <v>28</v>
      </c>
      <c r="H16" s="1">
        <v>28</v>
      </c>
      <c r="I16" s="45">
        <v>26</v>
      </c>
    </row>
    <row r="17" spans="2:9" ht="12.75">
      <c r="B17" s="44" t="s">
        <v>47</v>
      </c>
      <c r="C17" s="1">
        <v>17</v>
      </c>
      <c r="D17" s="1">
        <v>20</v>
      </c>
      <c r="E17" s="1">
        <v>23</v>
      </c>
      <c r="F17" s="1">
        <v>33</v>
      </c>
      <c r="G17" s="1">
        <v>33</v>
      </c>
      <c r="H17" s="1">
        <v>33</v>
      </c>
      <c r="I17" s="45">
        <v>25</v>
      </c>
    </row>
    <row r="18" spans="2:9" ht="12.75">
      <c r="B18" s="44" t="s">
        <v>42</v>
      </c>
      <c r="C18" s="1">
        <v>22</v>
      </c>
      <c r="D18" s="1">
        <v>27</v>
      </c>
      <c r="E18" s="1">
        <v>30</v>
      </c>
      <c r="F18" s="1">
        <v>30</v>
      </c>
      <c r="G18" s="1">
        <v>36</v>
      </c>
      <c r="H18" s="1">
        <v>38</v>
      </c>
      <c r="I18" s="45">
        <v>32</v>
      </c>
    </row>
    <row r="19" spans="2:9" ht="13.5" thickBot="1">
      <c r="B19" s="46" t="s">
        <v>41</v>
      </c>
      <c r="C19" s="47">
        <v>16</v>
      </c>
      <c r="D19" s="47">
        <v>24</v>
      </c>
      <c r="E19" s="47">
        <v>36</v>
      </c>
      <c r="F19" s="47">
        <v>50</v>
      </c>
      <c r="G19" s="47">
        <v>54</v>
      </c>
      <c r="H19" s="47">
        <v>58</v>
      </c>
      <c r="I19" s="48">
        <v>36</v>
      </c>
    </row>
    <row r="21" ht="13.5" thickBot="1"/>
    <row r="22" spans="2:8" ht="15.75">
      <c r="B22" s="58" t="s">
        <v>183</v>
      </c>
      <c r="C22" s="127" t="s">
        <v>50</v>
      </c>
      <c r="D22" s="128"/>
      <c r="E22" s="128" t="s">
        <v>51</v>
      </c>
      <c r="F22" s="128"/>
      <c r="G22" s="59" t="s">
        <v>49</v>
      </c>
      <c r="H22" s="53"/>
    </row>
    <row r="23" spans="2:7" ht="12.75">
      <c r="B23" s="56" t="s">
        <v>176</v>
      </c>
      <c r="C23" s="125">
        <v>50</v>
      </c>
      <c r="D23" s="123"/>
      <c r="E23" s="123">
        <v>40</v>
      </c>
      <c r="F23" s="123"/>
      <c r="G23" s="54" t="s">
        <v>52</v>
      </c>
    </row>
    <row r="24" spans="2:7" ht="12.75">
      <c r="B24" s="56" t="s">
        <v>179</v>
      </c>
      <c r="C24" s="125">
        <v>55</v>
      </c>
      <c r="D24" s="123"/>
      <c r="E24" s="123">
        <v>45</v>
      </c>
      <c r="F24" s="123"/>
      <c r="G24" s="54" t="s">
        <v>53</v>
      </c>
    </row>
    <row r="25" spans="2:7" ht="12.75">
      <c r="B25" s="56" t="s">
        <v>178</v>
      </c>
      <c r="C25" s="125">
        <v>60</v>
      </c>
      <c r="D25" s="123"/>
      <c r="E25" s="123">
        <v>50</v>
      </c>
      <c r="F25" s="123"/>
      <c r="G25" s="54" t="s">
        <v>54</v>
      </c>
    </row>
    <row r="26" spans="2:7" ht="12.75">
      <c r="B26" s="56" t="s">
        <v>177</v>
      </c>
      <c r="C26" s="125">
        <v>65</v>
      </c>
      <c r="D26" s="123"/>
      <c r="E26" s="123">
        <v>55</v>
      </c>
      <c r="F26" s="123"/>
      <c r="G26" s="54" t="s">
        <v>55</v>
      </c>
    </row>
    <row r="27" spans="2:7" ht="12.75">
      <c r="B27" s="56" t="s">
        <v>180</v>
      </c>
      <c r="C27" s="125">
        <v>70</v>
      </c>
      <c r="D27" s="123"/>
      <c r="E27" s="123">
        <v>60</v>
      </c>
      <c r="F27" s="123"/>
      <c r="G27" s="54" t="s">
        <v>56</v>
      </c>
    </row>
    <row r="28" spans="2:7" ht="13.5" thickBot="1">
      <c r="B28" s="57" t="s">
        <v>181</v>
      </c>
      <c r="C28" s="126">
        <v>70</v>
      </c>
      <c r="D28" s="124"/>
      <c r="E28" s="124">
        <v>70</v>
      </c>
      <c r="F28" s="124"/>
      <c r="G28" s="55" t="s">
        <v>57</v>
      </c>
    </row>
  </sheetData>
  <mergeCells count="14">
    <mergeCell ref="C22:D22"/>
    <mergeCell ref="E22:F22"/>
    <mergeCell ref="C23:D23"/>
    <mergeCell ref="C24:D24"/>
    <mergeCell ref="C25:D25"/>
    <mergeCell ref="E23:F23"/>
    <mergeCell ref="E24:F24"/>
    <mergeCell ref="E25:F25"/>
    <mergeCell ref="E26:F26"/>
    <mergeCell ref="E27:F27"/>
    <mergeCell ref="E28:F28"/>
    <mergeCell ref="C26:D26"/>
    <mergeCell ref="C27:D27"/>
    <mergeCell ref="C28:D28"/>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Matteo/Jerlo/Bicchio/Michael/Mirya UNIPR</dc:creator>
  <cp:keywords/>
  <dc:description/>
  <cp:lastModifiedBy>angelo farina</cp:lastModifiedBy>
  <dcterms:created xsi:type="dcterms:W3CDTF">2005-02-22T17:07:40Z</dcterms:created>
  <dcterms:modified xsi:type="dcterms:W3CDTF">2007-02-01T22:17:21Z</dcterms:modified>
  <cp:category/>
  <cp:version/>
  <cp:contentType/>
  <cp:contentStatus/>
</cp:coreProperties>
</file>