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5" yWindow="2385" windowWidth="21000" windowHeight="12360" activeTab="0"/>
  </bookViews>
  <sheets>
    <sheet name="Principale" sheetId="1" r:id="rId1"/>
    <sheet name="Calcoli" sheetId="2" r:id="rId2"/>
  </sheets>
  <externalReferences>
    <externalReference r:id="rId5"/>
  </externalReferences>
  <definedNames>
    <definedName name="_Cir1">'Calcoli'!#REF!</definedName>
    <definedName name="_Cir2">#REF!</definedName>
    <definedName name="_Cir3">#REF!</definedName>
    <definedName name="_Cir4">#REF!</definedName>
    <definedName name="_Cir5">#REF!</definedName>
    <definedName name="_Cir6">#REF!</definedName>
    <definedName name="_Crr2">#REF!</definedName>
    <definedName name="_Crr3">#REF!</definedName>
    <definedName name="_Crr4">#REF!</definedName>
    <definedName name="_Lam1">#REF!</definedName>
    <definedName name="_Lam2">#REF!</definedName>
    <definedName name="_Lam3">#REF!</definedName>
    <definedName name="_Lam4">#REF!</definedName>
    <definedName name="_Lam5">#REF!</definedName>
    <definedName name="_Lam6">#REF!</definedName>
    <definedName name="_LL1">'Calcoli'!#REF!</definedName>
    <definedName name="_Lp1">'Calcoli'!#REF!</definedName>
    <definedName name="_Lp2">'Calcoli'!#REF!</definedName>
    <definedName name="_MA1">'Calcoli'!#REF!</definedName>
    <definedName name="_MA2">'Calcoli'!#REF!</definedName>
    <definedName name="_Ni1">#REF!</definedName>
    <definedName name="_Ni2">#REF!</definedName>
    <definedName name="_Ni3">#REF!</definedName>
    <definedName name="_Ni4">#REF!</definedName>
    <definedName name="_Ni5">#REF!</definedName>
    <definedName name="_Ni6">#REF!</definedName>
    <definedName name="_Phi1">'Calcoli'!#REF!</definedName>
    <definedName name="_Phi2">'Calcoli'!#REF!</definedName>
    <definedName name="_Pr1">#REF!</definedName>
    <definedName name="_Pr2">#REF!</definedName>
    <definedName name="_Pr3">#REF!</definedName>
    <definedName name="_Pr4">#REF!</definedName>
    <definedName name="_Pr5">#REF!</definedName>
    <definedName name="_Pr6">#REF!</definedName>
    <definedName name="_Ps1">#REF!</definedName>
    <definedName name="_Ps2">#REF!</definedName>
    <definedName name="_Re1">'Calcoli'!#REF!</definedName>
    <definedName name="_Re2">'Calcoli'!#REF!</definedName>
    <definedName name="_Re3">'Calcoli'!#REF!</definedName>
    <definedName name="_Re4">'Calcoli'!#REF!</definedName>
    <definedName name="_Re5">'Calcoli'!#REF!</definedName>
    <definedName name="_RT1">'Calcoli'!#REF!</definedName>
    <definedName name="_RT2">'Calcoli'!#REF!</definedName>
    <definedName name="_Tit1">'Calcoli'!#REF!</definedName>
    <definedName name="_TT1">'Calcoli'!#REF!</definedName>
    <definedName name="_TT2">'Calcoli'!#REF!</definedName>
    <definedName name="_UU1">'Calcoli'!#REF!</definedName>
    <definedName name="_UU2">'Calcoli'!#REF!</definedName>
    <definedName name="_UU3">'Calcoli'!#REF!</definedName>
    <definedName name="_UU4">'Calcoli'!#REF!</definedName>
    <definedName name="_UU5">'Calcoli'!#REF!</definedName>
    <definedName name="_Vol2">'Calcoli'!#REF!</definedName>
    <definedName name="_xx1">'Calcoli'!#REF!</definedName>
    <definedName name="_xx2">'Calcoli'!#REF!</definedName>
    <definedName name="A">'Calcoli'!$B$3</definedName>
    <definedName name="AB">'Calcoli'!$E$3</definedName>
    <definedName name="B">'Calcoli'!$B$4</definedName>
    <definedName name="CC">'Calcoli'!$B$5</definedName>
    <definedName name="CD">'Calcoli'!$E$4</definedName>
    <definedName name="cpa">'Calcoli'!#REF!</definedName>
    <definedName name="cvn">'Calcoli'!#REF!</definedName>
    <definedName name="cvo">'Calcoli'!#REF!</definedName>
    <definedName name="D">'Calcoli'!$B$6</definedName>
    <definedName name="DD">'Calcoli'!#REF!</definedName>
    <definedName name="Deltap">'Calcoli'!#REF!</definedName>
    <definedName name="DeltaV">'Calcoli'!#REF!</definedName>
    <definedName name="Diam">'Calcoli'!#REF!</definedName>
    <definedName name="Diam1">'Calcoli'!#REF!</definedName>
    <definedName name="Diam2">'Calcoli'!#REF!</definedName>
    <definedName name="dist">'Principale'!$G$45</definedName>
    <definedName name="Dp">'Calcoli'!#REF!</definedName>
    <definedName name="E">'Calcoli'!$B$7</definedName>
    <definedName name="ED">'Principale'!$E$27</definedName>
    <definedName name="EF">'Calcoli'!$E$5</definedName>
    <definedName name="F">'Calcoli'!$B$8</definedName>
    <definedName name="freq">'Calcoli'!#REF!</definedName>
    <definedName name="hconv">'Calcoli'!#REF!</definedName>
    <definedName name="hr">'Principale'!$E$45</definedName>
    <definedName name="hs">'Principale'!$B$45</definedName>
    <definedName name="I">'Principale'!$E$26</definedName>
    <definedName name="Ktot">'Calcoli'!#REF!</definedName>
    <definedName name="L">'Calcoli'!#REF!</definedName>
    <definedName name="lambda1">'Calcoli'!#REF!</definedName>
    <definedName name="lambda2">'Calcoli'!#REF!</definedName>
    <definedName name="lambda3">'Calcoli'!#REF!</definedName>
    <definedName name="Ldir">'Calcoli'!#REF!</definedName>
    <definedName name="Lep">'Calcoli'!#REF!</definedName>
    <definedName name="Leq">'Calcoli'!#REF!</definedName>
    <definedName name="LProsa">'Calcoli'!#REF!</definedName>
    <definedName name="Lw">'Principale'!$B$46</definedName>
    <definedName name="Lw1m">#REF!</definedName>
    <definedName name="Ma">'Calcoli'!#REF!</definedName>
    <definedName name="Mavio">'Calcoli'!#REF!</definedName>
    <definedName name="Mn">'Calcoli'!#REF!</definedName>
    <definedName name="Mo">'Calcoli'!#REF!</definedName>
    <definedName name="Mtot">'Calcoli'!#REF!</definedName>
    <definedName name="mu">'Calcoli'!#REF!</definedName>
    <definedName name="Niacqua">'Calcoli'!#REF!</definedName>
    <definedName name="niaria">#REF!</definedName>
    <definedName name="Nices">#REF!</definedName>
    <definedName name="p">'Principale'!$E$24</definedName>
    <definedName name="Phifin">'Calcoli'!#REF!</definedName>
    <definedName name="Pn">'Calcoli'!#REF!</definedName>
    <definedName name="Po">'Calcoli'!#REF!</definedName>
    <definedName name="Portata">'Calcoli'!#REF!</definedName>
    <definedName name="Psfin">#REF!</definedName>
    <definedName name="Q">'Calcoli'!#REF!</definedName>
    <definedName name="Qm">'Calcoli'!#REF!</definedName>
    <definedName name="Qscamb">'Calcoli'!#REF!</definedName>
    <definedName name="Raria">'Calcoli'!#REF!</definedName>
    <definedName name="rho">'Calcoli'!#REF!</definedName>
    <definedName name="Rhoa">'Calcoli'!#REF!</definedName>
    <definedName name="RhoL">'Calcoli'!#REF!</definedName>
    <definedName name="RhoS">'Calcoli'!#REF!</definedName>
    <definedName name="rp">'Principale'!$H$46</definedName>
    <definedName name="rr">'Principale'!$E$46</definedName>
    <definedName name="rrrr">'[1]Calcoli'!$G$29</definedName>
    <definedName name="Rtot">'Calcoli'!#REF!</definedName>
    <definedName name="S">'Calcoli'!#REF!</definedName>
    <definedName name="schj">#REF!</definedName>
    <definedName name="Sdiv">'Calcoli'!#REF!</definedName>
    <definedName name="sigma">'Calcoli'!#REF!</definedName>
    <definedName name="spess1">'Calcoli'!#REF!</definedName>
    <definedName name="spess2">'Calcoli'!#REF!</definedName>
    <definedName name="spess3">'Calcoli'!#REF!</definedName>
    <definedName name="T">'Calcoli'!#REF!</definedName>
    <definedName name="Ta">'Calcoli'!#REF!</definedName>
    <definedName name="Tar">'Calcoli'!#REF!</definedName>
    <definedName name="Taria">'Calcoli'!#REF!</definedName>
    <definedName name="Tfin">'Calcoli'!#REF!</definedName>
    <definedName name="Tin">'Calcoli'!#REF!</definedName>
    <definedName name="Tinf">'Calcoli'!#REF!</definedName>
    <definedName name="Tiniz">'Calcoli'!#REF!</definedName>
    <definedName name="Titolo1">'Calcoli'!#REF!</definedName>
    <definedName name="Tmed1">'Calcoli'!#REF!</definedName>
    <definedName name="Tmed2">'Calcoli'!#REF!</definedName>
    <definedName name="Tmed3">'Calcoli'!#REF!</definedName>
    <definedName name="Tmed4">'Calcoli'!#REF!</definedName>
    <definedName name="Tmed5">'Calcoli'!#REF!</definedName>
    <definedName name="Tmed6">'Calcoli'!#REF!</definedName>
    <definedName name="Tn">'Calcoli'!#REF!</definedName>
    <definedName name="To">'Calcoli'!#REF!</definedName>
    <definedName name="Tout">'Calcoli'!#REF!</definedName>
    <definedName name="Tp">'Calcoli'!#REF!</definedName>
    <definedName name="Ua">'Calcoli'!#REF!</definedName>
    <definedName name="Ufin">'Calcoli'!#REF!</definedName>
    <definedName name="v">'Principale'!$E$25</definedName>
    <definedName name="Vfin">'Calcoli'!#REF!</definedName>
    <definedName name="Vn">'Calcoli'!#REF!</definedName>
    <definedName name="Vo">'Calcoli'!#REF!</definedName>
    <definedName name="Vol">'Calcoli'!#REF!</definedName>
    <definedName name="W">'Calcoli'!#REF!</definedName>
    <definedName name="XX">'Calcoli'!#REF!</definedName>
    <definedName name="XXX1">'Calcoli'!#REF!</definedName>
  </definedNames>
  <calcPr fullCalcOnLoad="1"/>
</workbook>
</file>

<file path=xl/sharedStrings.xml><?xml version="1.0" encoding="utf-8"?>
<sst xmlns="http://schemas.openxmlformats.org/spreadsheetml/2006/main" count="137" uniqueCount="106">
  <si>
    <t>Matricola</t>
  </si>
  <si>
    <t>A</t>
  </si>
  <si>
    <t>B</t>
  </si>
  <si>
    <t>C</t>
  </si>
  <si>
    <t>D</t>
  </si>
  <si>
    <t>E</t>
  </si>
  <si>
    <t>F</t>
  </si>
  <si>
    <t>AB=</t>
  </si>
  <si>
    <t>CD=</t>
  </si>
  <si>
    <t>EF=</t>
  </si>
  <si>
    <t>1° Esercizio</t>
  </si>
  <si>
    <t>m</t>
  </si>
  <si>
    <t>dB</t>
  </si>
  <si>
    <t>d =</t>
  </si>
  <si>
    <t>Alfa =</t>
  </si>
  <si>
    <t>Ntrains =</t>
  </si>
  <si>
    <t>Nwaggons =</t>
  </si>
  <si>
    <t>Sel, 10 waggons =</t>
  </si>
  <si>
    <t>dB(A)</t>
  </si>
  <si>
    <t>SEL, 1 waggon =</t>
  </si>
  <si>
    <t>N waggons tot =</t>
  </si>
  <si>
    <t>Sel, tot waggons =</t>
  </si>
  <si>
    <t>Sel, 100m =</t>
  </si>
  <si>
    <t>Leq,day =</t>
  </si>
  <si>
    <t>2° esercizio</t>
  </si>
  <si>
    <t>SPLmin =</t>
  </si>
  <si>
    <t>SPLmax =</t>
  </si>
  <si>
    <t>pmin=</t>
  </si>
  <si>
    <t>pmax=</t>
  </si>
  <si>
    <t>pinc =(</t>
  </si>
  <si>
    <t>prif =</t>
  </si>
  <si>
    <t>Lpinc =</t>
  </si>
  <si>
    <t>Lprif =</t>
  </si>
  <si>
    <t>3° esercizio</t>
  </si>
  <si>
    <t>f1 =</t>
  </si>
  <si>
    <t>Hz</t>
  </si>
  <si>
    <t>DeltaL =</t>
  </si>
  <si>
    <t>=10*log10(3+20N)</t>
  </si>
  <si>
    <t>N = (10^(DL/10)-3)/20</t>
  </si>
  <si>
    <t>ABC =</t>
  </si>
  <si>
    <t>ABC /2 =</t>
  </si>
  <si>
    <t>H =</t>
  </si>
  <si>
    <t>N' (1000 Hz)=</t>
  </si>
  <si>
    <t>=2*delta*f/c</t>
  </si>
  <si>
    <t>Delta = N*c/(2*f) =</t>
  </si>
  <si>
    <t>Delta L ' (1000 Hz) =</t>
  </si>
  <si>
    <t>Pa</t>
  </si>
  <si>
    <t>Maekawa</t>
  </si>
  <si>
    <t>Determine the following values of the SPL at the microphone.</t>
  </si>
  <si>
    <t xml:space="preserve">dB       </t>
  </si>
  <si>
    <t>r =</t>
  </si>
  <si>
    <t>r' =</t>
  </si>
  <si>
    <t>1) Why does it happen that the human auditory system is not very sensitive to low frequencies?</t>
  </si>
  <si>
    <t>Only one answer, if exact gives +3, if incorrect gives -3</t>
  </si>
  <si>
    <r>
      <t>¡</t>
    </r>
    <r>
      <rPr>
        <sz val="7"/>
        <color indexed="8"/>
        <rFont val="Times New Roman"/>
        <family val="1"/>
      </rPr>
      <t xml:space="preserve">  </t>
    </r>
    <r>
      <rPr>
        <sz val="10"/>
        <color indexed="8"/>
        <rFont val="Arial"/>
        <family val="2"/>
      </rPr>
      <t>Because the eardrum is very small compared to the wavelength of the low frequencies</t>
    </r>
  </si>
  <si>
    <r>
      <t>¡</t>
    </r>
    <r>
      <rPr>
        <sz val="7"/>
        <color indexed="8"/>
        <rFont val="Times New Roman"/>
        <family val="1"/>
      </rPr>
      <t xml:space="preserve">  </t>
    </r>
    <r>
      <rPr>
        <sz val="10"/>
        <color indexed="8"/>
        <rFont val="Arial"/>
        <family val="2"/>
      </rPr>
      <t>Because the power of an acoustic signal increases with frequency</t>
    </r>
  </si>
  <si>
    <r>
      <t>¡</t>
    </r>
    <r>
      <rPr>
        <sz val="7"/>
        <color indexed="8"/>
        <rFont val="Times New Roman"/>
        <family val="1"/>
      </rPr>
      <t xml:space="preserve">  </t>
    </r>
    <r>
      <rPr>
        <sz val="10"/>
        <color indexed="8"/>
        <rFont val="Arial"/>
        <family val="2"/>
      </rPr>
      <t xml:space="preserve">In reality we are equally sensitive to all frequencies, it is the use of the weighting scale "A" which apparently reduces the sound level at low frequencies </t>
    </r>
  </si>
  <si>
    <r>
      <t>¡</t>
    </r>
    <r>
      <rPr>
        <sz val="7"/>
        <color indexed="8"/>
        <rFont val="Times New Roman"/>
        <family val="1"/>
      </rPr>
      <t xml:space="preserve">  </t>
    </r>
    <r>
      <rPr>
        <sz val="10"/>
        <color indexed="8"/>
        <rFont val="Arial"/>
        <family val="2"/>
      </rPr>
      <t>Because inside the cochlea the part of the basement membrane placed at the beginning, near the oval window, is that thin and tense, sensitive to high frequencies, while the part and relaxed, sensitive to the low ones, is in the center of the cochlea</t>
    </r>
  </si>
  <si>
    <r>
      <t>¡</t>
    </r>
    <r>
      <rPr>
        <sz val="7"/>
        <color indexed="8"/>
        <rFont val="Times New Roman"/>
        <family val="1"/>
      </rPr>
      <t xml:space="preserve">  </t>
    </r>
    <r>
      <rPr>
        <sz val="10"/>
        <color indexed="8"/>
        <rFont val="Arial"/>
        <family val="2"/>
      </rPr>
      <t>Because the inner ear is full of liquid, and the impedance jump between air and liquid attenuates the low frequencies to a greater extent than the high frequencies</t>
    </r>
  </si>
  <si>
    <t>2) When two incoherent sound sources are put into operation in a room, what physical quantities give rise to a simple algebraic sum?</t>
  </si>
  <si>
    <t>Multiple answers allowed - +2 in case of correct answer, -2 for each wrong answer</t>
  </si>
  <si>
    <r>
      <t>¨</t>
    </r>
    <r>
      <rPr>
        <sz val="7"/>
        <color indexed="8"/>
        <rFont val="Times New Roman"/>
        <family val="1"/>
      </rPr>
      <t xml:space="preserve">  </t>
    </r>
    <r>
      <rPr>
        <sz val="10"/>
        <color indexed="8"/>
        <rFont val="Arial"/>
        <family val="2"/>
      </rPr>
      <t>Sound energy density (J / m3)</t>
    </r>
  </si>
  <si>
    <r>
      <t>¨</t>
    </r>
    <r>
      <rPr>
        <sz val="7"/>
        <color indexed="8"/>
        <rFont val="Times New Roman"/>
        <family val="1"/>
      </rPr>
      <t xml:space="preserve">  </t>
    </r>
    <r>
      <rPr>
        <sz val="10"/>
        <color indexed="8"/>
        <rFont val="Arial"/>
        <family val="2"/>
      </rPr>
      <t>Sound intensity (W / m2)</t>
    </r>
  </si>
  <si>
    <r>
      <t>¨</t>
    </r>
    <r>
      <rPr>
        <sz val="7"/>
        <color indexed="8"/>
        <rFont val="Times New Roman"/>
        <family val="1"/>
      </rPr>
      <t xml:space="preserve">  </t>
    </r>
    <r>
      <rPr>
        <sz val="10"/>
        <color indexed="8"/>
        <rFont val="Arial"/>
        <family val="2"/>
      </rPr>
      <t>Sound pressure level (dB)</t>
    </r>
  </si>
  <si>
    <r>
      <t>¨</t>
    </r>
    <r>
      <rPr>
        <sz val="7"/>
        <color indexed="8"/>
        <rFont val="Times New Roman"/>
        <family val="1"/>
      </rPr>
      <t xml:space="preserve">  </t>
    </r>
    <r>
      <rPr>
        <sz val="10"/>
        <color indexed="8"/>
        <rFont val="Arial"/>
        <family val="2"/>
      </rPr>
      <t>Sound pressure (Pa)</t>
    </r>
  </si>
  <si>
    <r>
      <t>¨</t>
    </r>
    <r>
      <rPr>
        <sz val="7"/>
        <color indexed="8"/>
        <rFont val="Times New Roman"/>
        <family val="1"/>
      </rPr>
      <t xml:space="preserve">  </t>
    </r>
    <r>
      <rPr>
        <sz val="10"/>
        <color indexed="8"/>
        <rFont val="Arial"/>
        <family val="2"/>
      </rPr>
      <t>Sound pressure square (Pa2)</t>
    </r>
  </si>
  <si>
    <r>
      <t>¨</t>
    </r>
    <r>
      <rPr>
        <sz val="7"/>
        <color indexed="8"/>
        <rFont val="Times New Roman"/>
        <family val="1"/>
      </rPr>
      <t xml:space="preserve">  </t>
    </r>
    <r>
      <rPr>
        <sz val="10"/>
        <color indexed="8"/>
        <rFont val="Arial"/>
        <family val="2"/>
      </rPr>
      <t>Sound power (W)</t>
    </r>
  </si>
  <si>
    <t>3) Exercise (tolerance +/- 0.5 dB)</t>
  </si>
  <si>
    <t>An intensimetric measurement is performed, and the following values are found: Sound Pressure Level is equal to 80+F dB, Particle Velocity Level is equal to 80+E dB, and there is no phase shift between pressure and velocity. Compute the Sound Intensity Level, the Energy Density Level and the Reactivity Index (RI=Ld-Li)</t>
  </si>
  <si>
    <t xml:space="preserve">      </t>
  </si>
  <si>
    <t>(5 points)</t>
  </si>
  <si>
    <t xml:space="preserve">(5 points) </t>
  </si>
  <si>
    <t>(3 points)</t>
  </si>
  <si>
    <t>4) Exercise (tolerance +/- 0.5 dB)</t>
  </si>
  <si>
    <t>A microphone is located at an horizontal distance of 10+E m, and at an height of C+10 m above the reflecting ground.</t>
  </si>
  <si>
    <r>
      <t>-</t>
    </r>
    <r>
      <rPr>
        <sz val="7"/>
        <rFont val="Times New Roman"/>
        <family val="1"/>
      </rPr>
      <t xml:space="preserve">       </t>
    </r>
    <r>
      <rPr>
        <sz val="10"/>
        <rFont val="Arial"/>
        <family val="2"/>
      </rPr>
      <t>Direct Sound SPL</t>
    </r>
  </si>
  <si>
    <r>
      <t>-</t>
    </r>
    <r>
      <rPr>
        <sz val="7"/>
        <rFont val="Times New Roman"/>
        <family val="1"/>
      </rPr>
      <t xml:space="preserve">       </t>
    </r>
    <r>
      <rPr>
        <sz val="10"/>
        <rFont val="Arial"/>
        <family val="2"/>
      </rPr>
      <t>Reflected Sound SPL</t>
    </r>
  </si>
  <si>
    <r>
      <t>-</t>
    </r>
    <r>
      <rPr>
        <sz val="7"/>
        <rFont val="Times New Roman"/>
        <family val="1"/>
      </rPr>
      <t xml:space="preserve">       </t>
    </r>
    <r>
      <rPr>
        <sz val="10"/>
        <rFont val="Arial"/>
        <family val="2"/>
      </rPr>
      <t>Total Sound SPL</t>
    </r>
  </si>
  <si>
    <r>
      <t>-</t>
    </r>
    <r>
      <rPr>
        <sz val="7"/>
        <rFont val="Times New Roman"/>
        <family val="1"/>
      </rPr>
      <t xml:space="preserve">  </t>
    </r>
    <r>
      <rPr>
        <sz val="10"/>
        <rFont val="Arial"/>
        <family val="2"/>
      </rPr>
      <t>Sound Intensity Level Li</t>
    </r>
  </si>
  <si>
    <r>
      <t>-</t>
    </r>
    <r>
      <rPr>
        <sz val="7"/>
        <rFont val="Times New Roman"/>
        <family val="1"/>
      </rPr>
      <t> </t>
    </r>
    <r>
      <rPr>
        <sz val="10"/>
        <rFont val="Arial"/>
        <family val="2"/>
      </rPr>
      <t>Energy Density Level Ld</t>
    </r>
  </si>
  <si>
    <t>SPL =</t>
  </si>
  <si>
    <t>p =</t>
  </si>
  <si>
    <t>PVL =</t>
  </si>
  <si>
    <t>v =</t>
  </si>
  <si>
    <t>m/s</t>
  </si>
  <si>
    <t>I=p*v=</t>
  </si>
  <si>
    <t>W/m2</t>
  </si>
  <si>
    <t>J/m3</t>
  </si>
  <si>
    <t>Li =</t>
  </si>
  <si>
    <t>ED=</t>
  </si>
  <si>
    <t>Ld =</t>
  </si>
  <si>
    <t>RI =</t>
  </si>
  <si>
    <t>mic</t>
  </si>
  <si>
    <t xml:space="preserve">An omnidirectional point source, radiating incoherent noise, is located above the reflecting floor (α=0), at an height of F/10+1 m. </t>
  </si>
  <si>
    <t>The Sound Power Level Lw is equal to 100+D dB.</t>
  </si>
  <si>
    <t>hs =</t>
  </si>
  <si>
    <t>hr =</t>
  </si>
  <si>
    <t>dist =</t>
  </si>
  <si>
    <t>Lw =</t>
  </si>
  <si>
    <t>=Lw -11 -20*log10(r) =</t>
  </si>
  <si>
    <t>=Lw -11 -20*log10(r') =</t>
  </si>
  <si>
    <t>=10*log10(10^(L1/10)+10^(L2/10))</t>
  </si>
  <si>
    <t>Applied Acoustics - 16/02/2018</t>
  </si>
  <si>
    <r>
      <t>-</t>
    </r>
    <r>
      <rPr>
        <sz val="7"/>
        <rFont val="Times New Roman"/>
        <family val="1"/>
      </rPr>
      <t>  </t>
    </r>
    <r>
      <rPr>
        <sz val="10"/>
        <rFont val="Arial"/>
        <family val="2"/>
      </rPr>
      <t>Reactivity Index RI =Ld - Li</t>
    </r>
  </si>
  <si>
    <t>r</t>
  </si>
  <si>
    <t>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</si>
</sst>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s>
  <fonts count="51">
    <font>
      <sz val="10"/>
      <name val="Arial"/>
      <family val="0"/>
    </font>
    <font>
      <b/>
      <sz val="10"/>
      <name val="Arial"/>
      <family val="2"/>
    </font>
    <font>
      <b/>
      <sz val="12"/>
      <color indexed="10"/>
      <name val="Arial"/>
      <family val="2"/>
    </font>
    <font>
      <b/>
      <sz val="10"/>
      <color indexed="12"/>
      <name val="Arial"/>
      <family val="2"/>
    </font>
    <font>
      <u val="single"/>
      <sz val="10"/>
      <color indexed="12"/>
      <name val="Arial"/>
      <family val="2"/>
    </font>
    <font>
      <u val="single"/>
      <sz val="10"/>
      <color indexed="36"/>
      <name val="Arial"/>
      <family val="2"/>
    </font>
    <font>
      <sz val="7"/>
      <name val="Times New Roman"/>
      <family val="1"/>
    </font>
    <font>
      <sz val="10"/>
      <name val="Times New Roman"/>
      <family val="1"/>
    </font>
    <font>
      <b/>
      <sz val="10"/>
      <name val="Times New Roman"/>
      <family val="1"/>
    </font>
    <font>
      <sz val="7"/>
      <color indexed="8"/>
      <name val="Times New Roman"/>
      <family val="1"/>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i/>
      <sz val="10"/>
      <color indexed="8"/>
      <name val="Arial"/>
      <family val="2"/>
    </font>
    <font>
      <sz val="10"/>
      <color indexed="8"/>
      <name val="Wingdings"/>
      <family val="0"/>
    </font>
    <font>
      <sz val="10"/>
      <color indexed="8"/>
      <name val="Times New Roman"/>
      <family val="0"/>
    </font>
    <font>
      <sz val="12"/>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0"/>
      <color rgb="FF000000"/>
      <name val="Arial"/>
      <family val="2"/>
    </font>
    <font>
      <i/>
      <sz val="10"/>
      <color rgb="FF000000"/>
      <name val="Arial"/>
      <family val="2"/>
    </font>
    <font>
      <sz val="10"/>
      <color rgb="FF00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0" fontId="0" fillId="0" borderId="0" xfId="0" applyAlignment="1">
      <alignment/>
    </xf>
    <xf numFmtId="184" fontId="0" fillId="0" borderId="0" xfId="0" applyNumberFormat="1" applyAlignment="1">
      <alignment/>
    </xf>
    <xf numFmtId="0" fontId="1" fillId="0" borderId="0" xfId="0" applyFont="1" applyAlignment="1">
      <alignment/>
    </xf>
    <xf numFmtId="0" fontId="0" fillId="0" borderId="0" xfId="0" applyAlignment="1">
      <alignment horizontal="right"/>
    </xf>
    <xf numFmtId="0" fontId="3" fillId="0" borderId="0" xfId="0" applyFont="1" applyAlignment="1">
      <alignment/>
    </xf>
    <xf numFmtId="2" fontId="1" fillId="0" borderId="0" xfId="0" applyNumberFormat="1"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quotePrefix="1">
      <alignment/>
    </xf>
    <xf numFmtId="0" fontId="0" fillId="0" borderId="0" xfId="0" applyAlignment="1">
      <alignment horizontal="left"/>
    </xf>
    <xf numFmtId="0" fontId="48" fillId="0" borderId="0" xfId="0" applyFont="1" applyAlignment="1">
      <alignment vertical="center"/>
    </xf>
    <xf numFmtId="0" fontId="49" fillId="33" borderId="0" xfId="0" applyFont="1" applyFill="1" applyAlignment="1">
      <alignment vertical="center"/>
    </xf>
    <xf numFmtId="0" fontId="50" fillId="0" borderId="0" xfId="0" applyFont="1" applyAlignment="1">
      <alignment horizontal="left" vertical="center" indent="4"/>
    </xf>
    <xf numFmtId="0" fontId="49" fillId="0" borderId="0" xfId="0" applyFont="1" applyAlignment="1">
      <alignment vertical="center"/>
    </xf>
    <xf numFmtId="0" fontId="8" fillId="0" borderId="0" xfId="0" applyFont="1" applyAlignment="1">
      <alignment horizontal="center" vertical="center"/>
    </xf>
    <xf numFmtId="0" fontId="1" fillId="0" borderId="0" xfId="0" applyFont="1" applyAlignment="1">
      <alignment vertical="center"/>
    </xf>
    <xf numFmtId="0" fontId="0" fillId="0" borderId="0" xfId="0" applyFont="1" applyAlignment="1">
      <alignment horizontal="justify" vertical="center"/>
    </xf>
    <xf numFmtId="0" fontId="50" fillId="34" borderId="0" xfId="0" applyFont="1" applyFill="1" applyAlignment="1">
      <alignment horizontal="left" vertical="center" indent="4"/>
    </xf>
    <xf numFmtId="0" fontId="0" fillId="34" borderId="0" xfId="0" applyFill="1" applyAlignment="1">
      <alignment/>
    </xf>
    <xf numFmtId="0" fontId="0" fillId="0" borderId="0" xfId="0" applyFont="1" applyAlignment="1" quotePrefix="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xf>
    <xf numFmtId="0" fontId="0" fillId="0" borderId="0" xfId="0" applyFont="1" applyAlignment="1">
      <alignment horizontal="right"/>
    </xf>
    <xf numFmtId="2" fontId="0" fillId="0" borderId="0" xfId="0" applyNumberFormat="1" applyFont="1" applyAlignment="1">
      <alignment horizontal="left" vertical="center"/>
    </xf>
    <xf numFmtId="2" fontId="0" fillId="0" borderId="0" xfId="0" applyNumberFormat="1" applyAlignment="1">
      <alignment horizontal="left"/>
    </xf>
    <xf numFmtId="0" fontId="0" fillId="0" borderId="0" xfId="0" applyFont="1" applyAlignment="1">
      <alignment horizontal="right" vertical="center"/>
    </xf>
    <xf numFmtId="0" fontId="0" fillId="0" borderId="0" xfId="0" applyFont="1" applyAlignment="1" quotePrefix="1">
      <alignment horizontal="left"/>
    </xf>
    <xf numFmtId="0" fontId="1" fillId="0" borderId="0" xfId="0" applyFont="1" applyAlignment="1">
      <alignment horizontal="left"/>
    </xf>
    <xf numFmtId="2" fontId="1" fillId="0" borderId="0" xfId="0" applyNumberFormat="1" applyFont="1" applyAlignment="1">
      <alignment horizontal="left" vertical="center"/>
    </xf>
    <xf numFmtId="2" fontId="1" fillId="0" borderId="0" xfId="0" applyNumberFormat="1" applyFont="1" applyAlignment="1">
      <alignment horizontal="right"/>
    </xf>
    <xf numFmtId="2" fontId="1" fillId="0" borderId="0" xfId="0" applyNumberFormat="1" applyFont="1" applyAlignment="1">
      <alignment horizontal="right" vertical="center"/>
    </xf>
    <xf numFmtId="0" fontId="0" fillId="0" borderId="0" xfId="0" applyFont="1" applyAlignment="1">
      <alignment horizontal="justify"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38</xdr:row>
      <xdr:rowOff>47625</xdr:rowOff>
    </xdr:from>
    <xdr:to>
      <xdr:col>8</xdr:col>
      <xdr:colOff>571500</xdr:colOff>
      <xdr:row>38</xdr:row>
      <xdr:rowOff>95250</xdr:rowOff>
    </xdr:to>
    <xdr:sp>
      <xdr:nvSpPr>
        <xdr:cNvPr id="1" name="Rectangle 57"/>
        <xdr:cNvSpPr>
          <a:spLocks/>
        </xdr:cNvSpPr>
      </xdr:nvSpPr>
      <xdr:spPr>
        <a:xfrm>
          <a:off x="790575" y="6638925"/>
          <a:ext cx="4943475" cy="476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35</xdr:row>
      <xdr:rowOff>104775</xdr:rowOff>
    </xdr:from>
    <xdr:to>
      <xdr:col>2</xdr:col>
      <xdr:colOff>200025</xdr:colOff>
      <xdr:row>36</xdr:row>
      <xdr:rowOff>57150</xdr:rowOff>
    </xdr:to>
    <xdr:sp>
      <xdr:nvSpPr>
        <xdr:cNvPr id="2" name="Oval 64"/>
        <xdr:cNvSpPr>
          <a:spLocks/>
        </xdr:cNvSpPr>
      </xdr:nvSpPr>
      <xdr:spPr>
        <a:xfrm>
          <a:off x="1581150" y="6210300"/>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34</xdr:row>
      <xdr:rowOff>57150</xdr:rowOff>
    </xdr:from>
    <xdr:to>
      <xdr:col>2</xdr:col>
      <xdr:colOff>419100</xdr:colOff>
      <xdr:row>35</xdr:row>
      <xdr:rowOff>104775</xdr:rowOff>
    </xdr:to>
    <xdr:sp>
      <xdr:nvSpPr>
        <xdr:cNvPr id="3" name="Text Box 63"/>
        <xdr:cNvSpPr txBox="1">
          <a:spLocks noChangeArrowheads="1"/>
        </xdr:cNvSpPr>
      </xdr:nvSpPr>
      <xdr:spPr>
        <a:xfrm>
          <a:off x="1504950" y="6000750"/>
          <a:ext cx="400050" cy="209550"/>
        </a:xfrm>
        <a:prstGeom prst="rect">
          <a:avLst/>
        </a:prstGeom>
        <a:noFill/>
        <a:ln w="9525" cmpd="sng">
          <a:noFill/>
        </a:ln>
      </xdr:spPr>
      <xdr:txBody>
        <a:bodyPr vertOverflow="clip" wrap="square"/>
        <a:p>
          <a:pPr algn="l">
            <a:defRPr/>
          </a:pPr>
          <a:r>
            <a:rPr lang="en-US" cap="none" sz="1000" b="0" i="0" u="none" baseline="0">
              <a:solidFill>
                <a:srgbClr val="000000"/>
              </a:solidFill>
            </a:rPr>
            <a:t>S</a:t>
          </a:r>
        </a:p>
      </xdr:txBody>
    </xdr:sp>
    <xdr:clientData/>
  </xdr:twoCellAnchor>
  <xdr:twoCellAnchor>
    <xdr:from>
      <xdr:col>2</xdr:col>
      <xdr:colOff>161925</xdr:colOff>
      <xdr:row>37</xdr:row>
      <xdr:rowOff>114300</xdr:rowOff>
    </xdr:from>
    <xdr:to>
      <xdr:col>7</xdr:col>
      <xdr:colOff>171450</xdr:colOff>
      <xdr:row>37</xdr:row>
      <xdr:rowOff>142875</xdr:rowOff>
    </xdr:to>
    <xdr:sp>
      <xdr:nvSpPr>
        <xdr:cNvPr id="4" name="Line 56"/>
        <xdr:cNvSpPr>
          <a:spLocks/>
        </xdr:cNvSpPr>
      </xdr:nvSpPr>
      <xdr:spPr>
        <a:xfrm flipV="1">
          <a:off x="1647825" y="6543675"/>
          <a:ext cx="3133725" cy="28575"/>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37</xdr:row>
      <xdr:rowOff>104775</xdr:rowOff>
    </xdr:from>
    <xdr:to>
      <xdr:col>2</xdr:col>
      <xdr:colOff>161925</xdr:colOff>
      <xdr:row>38</xdr:row>
      <xdr:rowOff>19050</xdr:rowOff>
    </xdr:to>
    <xdr:sp>
      <xdr:nvSpPr>
        <xdr:cNvPr id="5" name="Line 55"/>
        <xdr:cNvSpPr>
          <a:spLocks/>
        </xdr:cNvSpPr>
      </xdr:nvSpPr>
      <xdr:spPr>
        <a:xfrm>
          <a:off x="1647825" y="65341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37</xdr:row>
      <xdr:rowOff>19050</xdr:rowOff>
    </xdr:from>
    <xdr:to>
      <xdr:col>5</xdr:col>
      <xdr:colOff>28575</xdr:colOff>
      <xdr:row>38</xdr:row>
      <xdr:rowOff>19050</xdr:rowOff>
    </xdr:to>
    <xdr:sp>
      <xdr:nvSpPr>
        <xdr:cNvPr id="6" name="Text Box 54"/>
        <xdr:cNvSpPr txBox="1">
          <a:spLocks noChangeArrowheads="1"/>
        </xdr:cNvSpPr>
      </xdr:nvSpPr>
      <xdr:spPr>
        <a:xfrm>
          <a:off x="2952750" y="6448425"/>
          <a:ext cx="571500" cy="161925"/>
        </a:xfrm>
        <a:prstGeom prst="rect">
          <a:avLst/>
        </a:prstGeom>
        <a:solidFill>
          <a:srgbClr val="FFFFFF"/>
        </a:solidFill>
        <a:ln w="9525" cmpd="sng">
          <a:noFill/>
        </a:ln>
      </xdr:spPr>
      <xdr:txBody>
        <a:bodyPr vertOverflow="clip" wrap="square" lIns="18000" tIns="0" rIns="18000" bIns="0"/>
        <a:p>
          <a:pPr algn="l">
            <a:defRPr/>
          </a:pPr>
          <a:r>
            <a:rPr lang="en-US" cap="none" sz="1000" b="0" i="0" u="none" baseline="0">
              <a:solidFill>
                <a:srgbClr val="000000"/>
              </a:solidFill>
              <a:latin typeface="Times New Roman"/>
              <a:ea typeface="Times New Roman"/>
              <a:cs typeface="Times New Roman"/>
            </a:rPr>
            <a:t>10+E</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7</xdr:col>
      <xdr:colOff>409575</xdr:colOff>
      <xdr:row>34</xdr:row>
      <xdr:rowOff>57150</xdr:rowOff>
    </xdr:from>
    <xdr:to>
      <xdr:col>7</xdr:col>
      <xdr:colOff>409575</xdr:colOff>
      <xdr:row>38</xdr:row>
      <xdr:rowOff>28575</xdr:rowOff>
    </xdr:to>
    <xdr:sp>
      <xdr:nvSpPr>
        <xdr:cNvPr id="7" name="Line 62"/>
        <xdr:cNvSpPr>
          <a:spLocks/>
        </xdr:cNvSpPr>
      </xdr:nvSpPr>
      <xdr:spPr>
        <a:xfrm>
          <a:off x="5019675" y="6000750"/>
          <a:ext cx="0" cy="619125"/>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504825</xdr:colOff>
      <xdr:row>37</xdr:row>
      <xdr:rowOff>123825</xdr:rowOff>
    </xdr:to>
    <xdr:sp>
      <xdr:nvSpPr>
        <xdr:cNvPr id="8" name="Text Box 59"/>
        <xdr:cNvSpPr txBox="1">
          <a:spLocks noChangeArrowheads="1"/>
        </xdr:cNvSpPr>
      </xdr:nvSpPr>
      <xdr:spPr>
        <a:xfrm>
          <a:off x="895350" y="6362700"/>
          <a:ext cx="466725" cy="190500"/>
        </a:xfrm>
        <a:prstGeom prst="rect">
          <a:avLst/>
        </a:prstGeom>
        <a:solidFill>
          <a:srgbClr val="FFFFFF"/>
        </a:solidFill>
        <a:ln w="9525" cmpd="sng">
          <a:noFill/>
        </a:ln>
      </xdr:spPr>
      <xdr:txBody>
        <a:bodyPr vertOverflow="clip" wrap="square" lIns="18000" tIns="0" rIns="18000" bIns="0"/>
        <a:p>
          <a:pPr algn="l">
            <a:defRPr/>
          </a:pPr>
          <a:r>
            <a:rPr lang="en-US" cap="none" sz="1000" b="0" i="0" u="none" baseline="0">
              <a:solidFill>
                <a:srgbClr val="000000"/>
              </a:solidFill>
              <a:latin typeface="Times New Roman"/>
              <a:ea typeface="Times New Roman"/>
              <a:cs typeface="Times New Roman"/>
            </a:rPr>
            <a:t>F/10+1</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495300</xdr:colOff>
      <xdr:row>36</xdr:row>
      <xdr:rowOff>19050</xdr:rowOff>
    </xdr:from>
    <xdr:to>
      <xdr:col>1</xdr:col>
      <xdr:colOff>495300</xdr:colOff>
      <xdr:row>38</xdr:row>
      <xdr:rowOff>57150</xdr:rowOff>
    </xdr:to>
    <xdr:sp>
      <xdr:nvSpPr>
        <xdr:cNvPr id="9" name="Line 58"/>
        <xdr:cNvSpPr>
          <a:spLocks/>
        </xdr:cNvSpPr>
      </xdr:nvSpPr>
      <xdr:spPr>
        <a:xfrm flipH="1">
          <a:off x="1352550" y="6286500"/>
          <a:ext cx="0" cy="361950"/>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35</xdr:row>
      <xdr:rowOff>114300</xdr:rowOff>
    </xdr:from>
    <xdr:to>
      <xdr:col>8</xdr:col>
      <xdr:colOff>361950</xdr:colOff>
      <xdr:row>36</xdr:row>
      <xdr:rowOff>95250</xdr:rowOff>
    </xdr:to>
    <xdr:sp>
      <xdr:nvSpPr>
        <xdr:cNvPr id="10" name="Text Box 60"/>
        <xdr:cNvSpPr txBox="1">
          <a:spLocks noChangeArrowheads="1"/>
        </xdr:cNvSpPr>
      </xdr:nvSpPr>
      <xdr:spPr>
        <a:xfrm>
          <a:off x="5057775" y="6219825"/>
          <a:ext cx="466725" cy="142875"/>
        </a:xfrm>
        <a:prstGeom prst="rect">
          <a:avLst/>
        </a:prstGeom>
        <a:solidFill>
          <a:srgbClr val="FFFFFF"/>
        </a:solidFill>
        <a:ln w="9525" cmpd="sng">
          <a:noFill/>
        </a:ln>
      </xdr:spPr>
      <xdr:txBody>
        <a:bodyPr vertOverflow="clip" wrap="square" lIns="18000" tIns="0" rIns="18000" bIns="0"/>
        <a:p>
          <a:pPr algn="l">
            <a:defRPr/>
          </a:pPr>
          <a:r>
            <a:rPr lang="en-US" cap="none" sz="1000" b="0" i="0" u="none" baseline="0">
              <a:solidFill>
                <a:srgbClr val="000000"/>
              </a:solidFill>
              <a:latin typeface="Times New Roman"/>
              <a:ea typeface="Times New Roman"/>
              <a:cs typeface="Times New Roman"/>
            </a:rPr>
            <a:t>C+10</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7</xdr:col>
      <xdr:colOff>114300</xdr:colOff>
      <xdr:row>34</xdr:row>
      <xdr:rowOff>47625</xdr:rowOff>
    </xdr:from>
    <xdr:to>
      <xdr:col>7</xdr:col>
      <xdr:colOff>219075</xdr:colOff>
      <xdr:row>34</xdr:row>
      <xdr:rowOff>152400</xdr:rowOff>
    </xdr:to>
    <xdr:sp>
      <xdr:nvSpPr>
        <xdr:cNvPr id="11" name="Oval 64"/>
        <xdr:cNvSpPr>
          <a:spLocks/>
        </xdr:cNvSpPr>
      </xdr:nvSpPr>
      <xdr:spPr>
        <a:xfrm>
          <a:off x="4724400" y="59912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34</xdr:row>
      <xdr:rowOff>104775</xdr:rowOff>
    </xdr:from>
    <xdr:to>
      <xdr:col>7</xdr:col>
      <xdr:colOff>161925</xdr:colOff>
      <xdr:row>36</xdr:row>
      <xdr:rowOff>9525</xdr:rowOff>
    </xdr:to>
    <xdr:sp>
      <xdr:nvSpPr>
        <xdr:cNvPr id="12" name="Line 56"/>
        <xdr:cNvSpPr>
          <a:spLocks/>
        </xdr:cNvSpPr>
      </xdr:nvSpPr>
      <xdr:spPr>
        <a:xfrm flipV="1">
          <a:off x="1619250" y="6048375"/>
          <a:ext cx="3152775" cy="228600"/>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40</xdr:row>
      <xdr:rowOff>9525</xdr:rowOff>
    </xdr:from>
    <xdr:to>
      <xdr:col>2</xdr:col>
      <xdr:colOff>200025</xdr:colOff>
      <xdr:row>40</xdr:row>
      <xdr:rowOff>123825</xdr:rowOff>
    </xdr:to>
    <xdr:sp>
      <xdr:nvSpPr>
        <xdr:cNvPr id="13" name="Oval 64"/>
        <xdr:cNvSpPr>
          <a:spLocks/>
        </xdr:cNvSpPr>
      </xdr:nvSpPr>
      <xdr:spPr>
        <a:xfrm>
          <a:off x="1581150" y="6924675"/>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34</xdr:row>
      <xdr:rowOff>95250</xdr:rowOff>
    </xdr:from>
    <xdr:to>
      <xdr:col>7</xdr:col>
      <xdr:colOff>180975</xdr:colOff>
      <xdr:row>40</xdr:row>
      <xdr:rowOff>66675</xdr:rowOff>
    </xdr:to>
    <xdr:sp>
      <xdr:nvSpPr>
        <xdr:cNvPr id="14" name="Line 56"/>
        <xdr:cNvSpPr>
          <a:spLocks/>
        </xdr:cNvSpPr>
      </xdr:nvSpPr>
      <xdr:spPr>
        <a:xfrm flipV="1">
          <a:off x="1619250" y="6038850"/>
          <a:ext cx="3171825" cy="942975"/>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rina\My%20Documents\Esami\59%20-%20Esame%20di%20Fisica%20Tecnica%20del%207%20luglio%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cipale"/>
      <sheetName val="Calcoli"/>
      <sheetName val="Proprietà_H2O"/>
      <sheetName val="Graf_prop_H2O"/>
      <sheetName val="Cr"/>
      <sheetName val="Grafico_Cr"/>
      <sheetName val="Ps"/>
      <sheetName val="Grafico_Ps"/>
      <sheetName val="Ni"/>
      <sheetName val="Grafico_Ni"/>
    </sheetNames>
    <sheetDataSet>
      <sheetData sheetId="1">
        <row r="29">
          <cell r="G29">
            <v>19230.76923076923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190" zoomScaleNormal="190" zoomScalePageLayoutView="0" workbookViewId="0" topLeftCell="A1">
      <selection activeCell="C50" sqref="C50"/>
    </sheetView>
  </sheetViews>
  <sheetFormatPr defaultColWidth="8.8515625" defaultRowHeight="12.75"/>
  <cols>
    <col min="1" max="1" width="12.8515625" style="3" customWidth="1"/>
    <col min="2" max="2" width="9.421875" style="0" bestFit="1" customWidth="1"/>
    <col min="3" max="3" width="8.8515625" style="1" customWidth="1"/>
    <col min="4" max="4" width="12.00390625" style="0" customWidth="1"/>
    <col min="5" max="5" width="9.28125" style="0" customWidth="1"/>
    <col min="6" max="6" width="7.8515625" style="0" customWidth="1"/>
    <col min="7" max="7" width="8.8515625" style="0" customWidth="1"/>
    <col min="8" max="8" width="8.28125" style="0" customWidth="1"/>
  </cols>
  <sheetData>
    <row r="1" ht="15.75">
      <c r="A1" s="7" t="s">
        <v>102</v>
      </c>
    </row>
    <row r="3" spans="1:2" ht="12.75">
      <c r="A3" s="9" t="s">
        <v>0</v>
      </c>
      <c r="B3" s="4">
        <v>556919</v>
      </c>
    </row>
    <row r="5" spans="1:3" ht="12.75">
      <c r="A5" s="10" t="s">
        <v>52</v>
      </c>
      <c r="C5"/>
    </row>
    <row r="6" spans="1:3" ht="12.75">
      <c r="A6" s="11" t="s">
        <v>53</v>
      </c>
      <c r="C6"/>
    </row>
    <row r="7" spans="1:3" ht="12.75">
      <c r="A7" s="12" t="s">
        <v>54</v>
      </c>
      <c r="C7"/>
    </row>
    <row r="8" spans="1:3" ht="12.75">
      <c r="A8" s="12" t="s">
        <v>55</v>
      </c>
      <c r="C8"/>
    </row>
    <row r="9" spans="1:3" ht="12.75">
      <c r="A9" s="12" t="s">
        <v>56</v>
      </c>
      <c r="C9"/>
    </row>
    <row r="10" spans="1:13" ht="12.75">
      <c r="A10" s="17" t="s">
        <v>57</v>
      </c>
      <c r="B10" s="18"/>
      <c r="C10" s="18"/>
      <c r="D10" s="18"/>
      <c r="E10" s="18"/>
      <c r="F10" s="18"/>
      <c r="G10" s="18"/>
      <c r="H10" s="18"/>
      <c r="I10" s="18"/>
      <c r="J10" s="18"/>
      <c r="K10" s="18"/>
      <c r="L10" s="18"/>
      <c r="M10" s="18"/>
    </row>
    <row r="11" spans="1:3" ht="12.75">
      <c r="A11" s="12" t="s">
        <v>58</v>
      </c>
      <c r="C11"/>
    </row>
    <row r="12" spans="1:3" ht="12.75">
      <c r="A12" s="10"/>
      <c r="C12"/>
    </row>
    <row r="13" spans="1:3" ht="12.75">
      <c r="A13" s="10" t="s">
        <v>59</v>
      </c>
      <c r="C13"/>
    </row>
    <row r="14" spans="1:3" ht="12.75">
      <c r="A14" s="13" t="s">
        <v>60</v>
      </c>
      <c r="C14"/>
    </row>
    <row r="15" spans="1:5" ht="12.75">
      <c r="A15" s="17" t="s">
        <v>61</v>
      </c>
      <c r="B15" s="18"/>
      <c r="C15" s="18"/>
      <c r="D15" s="18"/>
      <c r="E15" s="18"/>
    </row>
    <row r="16" spans="1:3" ht="12.75">
      <c r="A16" s="12" t="s">
        <v>62</v>
      </c>
      <c r="C16"/>
    </row>
    <row r="17" spans="1:3" ht="12.75">
      <c r="A17" s="12" t="s">
        <v>63</v>
      </c>
      <c r="C17"/>
    </row>
    <row r="18" spans="1:3" ht="12.75">
      <c r="A18" s="12" t="s">
        <v>64</v>
      </c>
      <c r="C18"/>
    </row>
    <row r="19" spans="1:5" ht="12.75">
      <c r="A19" s="17" t="s">
        <v>65</v>
      </c>
      <c r="B19" s="18"/>
      <c r="C19" s="18"/>
      <c r="D19" s="18"/>
      <c r="E19" s="18"/>
    </row>
    <row r="20" spans="1:5" ht="12.75">
      <c r="A20" s="17" t="s">
        <v>66</v>
      </c>
      <c r="B20" s="18"/>
      <c r="C20" s="18"/>
      <c r="D20" s="18"/>
      <c r="E20" s="18"/>
    </row>
    <row r="21" spans="1:3" ht="12.75">
      <c r="A21" s="14"/>
      <c r="C21"/>
    </row>
    <row r="22" spans="1:3" ht="12.75">
      <c r="A22" s="15" t="s">
        <v>67</v>
      </c>
      <c r="C22"/>
    </row>
    <row r="23" spans="1:10" ht="42" customHeight="1">
      <c r="A23" s="35" t="s">
        <v>68</v>
      </c>
      <c r="B23" s="36"/>
      <c r="C23" s="36"/>
      <c r="D23" s="36"/>
      <c r="E23" s="36"/>
      <c r="F23" s="36"/>
      <c r="G23" s="36"/>
      <c r="H23" s="36"/>
      <c r="I23" s="36"/>
      <c r="J23" s="36"/>
    </row>
    <row r="24" spans="1:9" ht="12.75">
      <c r="A24" s="20" t="s">
        <v>80</v>
      </c>
      <c r="B24" s="9">
        <f>80+F</f>
        <v>89</v>
      </c>
      <c r="C24" s="25" t="s">
        <v>12</v>
      </c>
      <c r="D24" s="26" t="s">
        <v>81</v>
      </c>
      <c r="E24" s="9">
        <f>0.00002*10^(B24/20)</f>
        <v>0.563676586252892</v>
      </c>
      <c r="F24" s="25" t="s">
        <v>46</v>
      </c>
      <c r="G24" s="9"/>
      <c r="H24" s="9"/>
      <c r="I24" s="9"/>
    </row>
    <row r="25" spans="1:9" ht="12.75">
      <c r="A25" s="20" t="s">
        <v>82</v>
      </c>
      <c r="B25" s="9">
        <f>80+E</f>
        <v>81</v>
      </c>
      <c r="C25" s="25" t="s">
        <v>12</v>
      </c>
      <c r="D25" s="26" t="s">
        <v>83</v>
      </c>
      <c r="E25" s="9">
        <f>0.00000005*10^(B25/20)</f>
        <v>0.000561009227150982</v>
      </c>
      <c r="F25" s="25" t="s">
        <v>84</v>
      </c>
      <c r="G25" s="9"/>
      <c r="H25" s="9"/>
      <c r="I25" s="9"/>
    </row>
    <row r="26" spans="1:9" ht="12.75">
      <c r="A26" s="20"/>
      <c r="B26" s="9"/>
      <c r="C26" s="25"/>
      <c r="D26" s="26" t="s">
        <v>85</v>
      </c>
      <c r="E26" s="9">
        <f>p*v</f>
        <v>0.00031622776601683875</v>
      </c>
      <c r="F26" s="25" t="s">
        <v>86</v>
      </c>
      <c r="G26" s="9"/>
      <c r="H26" s="9"/>
      <c r="I26" s="9"/>
    </row>
    <row r="27" spans="1:9" ht="12.75">
      <c r="A27" s="20"/>
      <c r="B27" s="9"/>
      <c r="C27" s="25"/>
      <c r="D27" s="26" t="s">
        <v>89</v>
      </c>
      <c r="E27" s="9">
        <f>1/(2*340)*(400*v^2+p^2/400)</f>
        <v>1.3532658469172084E-06</v>
      </c>
      <c r="F27" s="25" t="s">
        <v>87</v>
      </c>
      <c r="G27" s="9"/>
      <c r="H27" s="9"/>
      <c r="I27" s="9"/>
    </row>
    <row r="28" spans="1:9" ht="12.75">
      <c r="A28" s="20"/>
      <c r="B28" s="9"/>
      <c r="C28" s="25"/>
      <c r="D28" s="26"/>
      <c r="E28" s="9"/>
      <c r="F28" s="25"/>
      <c r="G28" s="9"/>
      <c r="H28" s="9"/>
      <c r="I28" s="9"/>
    </row>
    <row r="29" spans="1:9" ht="15" customHeight="1">
      <c r="A29" s="19" t="s">
        <v>78</v>
      </c>
      <c r="B29" s="9"/>
      <c r="C29" s="9"/>
      <c r="D29" s="26" t="s">
        <v>88</v>
      </c>
      <c r="E29" s="27">
        <f>10*LOG10(I/0.000000000001)</f>
        <v>85.00000000000001</v>
      </c>
      <c r="F29" s="25" t="s">
        <v>12</v>
      </c>
      <c r="G29" s="16" t="s">
        <v>70</v>
      </c>
      <c r="H29" s="9"/>
      <c r="I29" s="24"/>
    </row>
    <row r="30" spans="1:9" ht="12.75">
      <c r="A30" s="19" t="s">
        <v>79</v>
      </c>
      <c r="B30" s="9"/>
      <c r="C30" s="20" t="s">
        <v>69</v>
      </c>
      <c r="D30" s="26" t="s">
        <v>90</v>
      </c>
      <c r="E30" s="28">
        <f>10*LOG10(ED/0.000000000000003)</f>
        <v>86.54261866717482</v>
      </c>
      <c r="F30" s="20" t="s">
        <v>12</v>
      </c>
      <c r="G30" s="16" t="s">
        <v>71</v>
      </c>
      <c r="H30" s="9"/>
      <c r="I30" s="24"/>
    </row>
    <row r="31" spans="1:9" ht="12.75">
      <c r="A31" s="19" t="s">
        <v>103</v>
      </c>
      <c r="B31" s="9"/>
      <c r="C31" s="20"/>
      <c r="D31" s="26" t="s">
        <v>91</v>
      </c>
      <c r="E31" s="28">
        <f>E30-E29</f>
        <v>1.542618667174807</v>
      </c>
      <c r="F31" s="25" t="s">
        <v>12</v>
      </c>
      <c r="G31" s="16" t="s">
        <v>72</v>
      </c>
      <c r="H31" s="9"/>
      <c r="I31" s="24"/>
    </row>
    <row r="32" spans="1:9" ht="12.75">
      <c r="A32" s="20"/>
      <c r="B32" s="9"/>
      <c r="C32" s="9"/>
      <c r="D32" s="9"/>
      <c r="E32" s="9"/>
      <c r="F32" s="9"/>
      <c r="G32" s="9"/>
      <c r="H32" s="9"/>
      <c r="I32" s="9"/>
    </row>
    <row r="33" spans="1:9" ht="12.75">
      <c r="A33" s="21" t="s">
        <v>73</v>
      </c>
      <c r="B33" s="9"/>
      <c r="C33" s="9"/>
      <c r="D33" s="9"/>
      <c r="E33" s="9"/>
      <c r="F33" s="9"/>
      <c r="G33" s="9"/>
      <c r="H33" s="9"/>
      <c r="I33" s="9"/>
    </row>
    <row r="34" spans="1:8" ht="12.75">
      <c r="A34" s="23"/>
      <c r="B34" s="9"/>
      <c r="C34" s="9"/>
      <c r="D34" s="9"/>
      <c r="E34" s="9"/>
      <c r="F34" s="9"/>
      <c r="G34" s="9"/>
      <c r="H34" s="25" t="s">
        <v>92</v>
      </c>
    </row>
    <row r="35" spans="1:9" ht="12.75">
      <c r="A35" s="22"/>
      <c r="B35" s="9"/>
      <c r="C35" s="9"/>
      <c r="D35" s="9"/>
      <c r="E35" s="9"/>
      <c r="F35" s="9" t="s">
        <v>104</v>
      </c>
      <c r="G35" s="9"/>
      <c r="H35" s="9"/>
      <c r="I35" s="9"/>
    </row>
    <row r="36" spans="1:9" ht="12.75">
      <c r="A36" s="20"/>
      <c r="B36" s="9"/>
      <c r="C36" s="9"/>
      <c r="D36" s="9"/>
      <c r="E36" s="9"/>
      <c r="F36" s="9"/>
      <c r="G36" s="9"/>
      <c r="H36" s="9"/>
      <c r="I36" s="9"/>
    </row>
    <row r="37" spans="1:9" ht="12.75">
      <c r="A37" s="23"/>
      <c r="B37" s="9"/>
      <c r="C37" s="9"/>
      <c r="D37" s="9"/>
      <c r="E37" s="9"/>
      <c r="F37" s="9" t="s">
        <v>105</v>
      </c>
      <c r="G37" s="9"/>
      <c r="H37" s="9"/>
      <c r="I37" s="9"/>
    </row>
    <row r="38" spans="1:9" ht="12.75">
      <c r="A38" s="9"/>
      <c r="B38" s="9"/>
      <c r="C38" s="9"/>
      <c r="D38" s="9"/>
      <c r="E38" s="9"/>
      <c r="F38" s="9"/>
      <c r="G38" s="9"/>
      <c r="H38" s="9"/>
      <c r="I38" s="9"/>
    </row>
    <row r="39" spans="1:9" ht="12.75">
      <c r="A39" s="20"/>
      <c r="B39" s="9"/>
      <c r="C39" s="9"/>
      <c r="D39" s="9"/>
      <c r="E39" s="9"/>
      <c r="F39" s="9"/>
      <c r="G39" s="9"/>
      <c r="H39" s="9"/>
      <c r="I39" s="9"/>
    </row>
    <row r="40" spans="1:9" ht="12.75">
      <c r="A40" s="20"/>
      <c r="B40" s="9"/>
      <c r="C40" s="9"/>
      <c r="D40" s="9"/>
      <c r="E40" s="9"/>
      <c r="F40" s="9"/>
      <c r="G40" s="9"/>
      <c r="H40" s="9"/>
      <c r="I40" s="9"/>
    </row>
    <row r="41" spans="1:9" ht="12.75">
      <c r="A41" s="20" t="s">
        <v>93</v>
      </c>
      <c r="B41" s="9"/>
      <c r="C41" s="9"/>
      <c r="D41" s="9"/>
      <c r="E41" s="9"/>
      <c r="F41" s="9"/>
      <c r="G41" s="9"/>
      <c r="H41" s="9"/>
      <c r="I41" s="9"/>
    </row>
    <row r="42" spans="1:9" ht="12.75">
      <c r="A42" s="20" t="s">
        <v>94</v>
      </c>
      <c r="B42" s="9"/>
      <c r="C42" s="9"/>
      <c r="D42" s="9"/>
      <c r="E42" s="9"/>
      <c r="F42" s="9"/>
      <c r="G42" s="9"/>
      <c r="H42" s="9"/>
      <c r="I42" s="9"/>
    </row>
    <row r="43" spans="1:9" ht="12.75">
      <c r="A43" s="20" t="s">
        <v>74</v>
      </c>
      <c r="B43" s="9"/>
      <c r="C43" s="9"/>
      <c r="D43" s="9"/>
      <c r="E43" s="9"/>
      <c r="F43" s="9"/>
      <c r="G43" s="9"/>
      <c r="H43" s="9"/>
      <c r="I43" s="9"/>
    </row>
    <row r="44" spans="1:9" ht="12.75">
      <c r="A44" s="20" t="s">
        <v>48</v>
      </c>
      <c r="B44" s="9"/>
      <c r="C44" s="9"/>
      <c r="D44" s="9"/>
      <c r="E44" s="9"/>
      <c r="F44" s="9"/>
      <c r="G44" s="9"/>
      <c r="H44" s="9"/>
      <c r="I44" s="9"/>
    </row>
    <row r="45" spans="1:9" ht="12.75">
      <c r="A45" s="29" t="s">
        <v>95</v>
      </c>
      <c r="B45" s="9">
        <f>F/10+1</f>
        <v>1.9</v>
      </c>
      <c r="C45" s="25" t="s">
        <v>11</v>
      </c>
      <c r="D45" s="26" t="s">
        <v>96</v>
      </c>
      <c r="E45" s="9">
        <f>CC+10</f>
        <v>16</v>
      </c>
      <c r="F45" s="25" t="s">
        <v>11</v>
      </c>
      <c r="G45" s="26" t="s">
        <v>97</v>
      </c>
      <c r="H45" s="9">
        <f>10+E</f>
        <v>11</v>
      </c>
      <c r="I45" s="25" t="s">
        <v>11</v>
      </c>
    </row>
    <row r="46" spans="1:9" ht="12.75">
      <c r="A46" s="29" t="s">
        <v>98</v>
      </c>
      <c r="B46" s="9">
        <f>100+D</f>
        <v>109</v>
      </c>
      <c r="C46" s="25" t="s">
        <v>12</v>
      </c>
      <c r="D46" s="26" t="s">
        <v>50</v>
      </c>
      <c r="E46" s="9">
        <f>SQRT(D^2+(hs-hr)^2)</f>
        <v>16.727522231340778</v>
      </c>
      <c r="F46" s="25" t="s">
        <v>11</v>
      </c>
      <c r="G46" s="26" t="s">
        <v>51</v>
      </c>
      <c r="H46" s="9">
        <f>SQRT(D^2+(hs+hr)^2)</f>
        <v>20.035218990567586</v>
      </c>
      <c r="I46" s="25" t="s">
        <v>11</v>
      </c>
    </row>
    <row r="47" spans="1:9" ht="12.75">
      <c r="A47" s="20" t="s">
        <v>75</v>
      </c>
      <c r="B47" s="9"/>
      <c r="C47" s="30" t="s">
        <v>99</v>
      </c>
      <c r="D47" s="9"/>
      <c r="F47" s="33">
        <f>Lw-11-20*LOG10(rr)</f>
        <v>73.53136768517483</v>
      </c>
      <c r="G47" s="31" t="s">
        <v>12</v>
      </c>
      <c r="H47" s="20" t="s">
        <v>70</v>
      </c>
      <c r="I47" s="9"/>
    </row>
    <row r="48" spans="1:9" ht="12.75">
      <c r="A48" s="20" t="s">
        <v>76</v>
      </c>
      <c r="B48" s="9"/>
      <c r="C48" s="30" t="s">
        <v>100</v>
      </c>
      <c r="D48" s="9"/>
      <c r="F48" s="34">
        <f>Lw-11-20*LOG10(rp)</f>
        <v>71.96411812489484</v>
      </c>
      <c r="G48" s="31" t="s">
        <v>12</v>
      </c>
      <c r="H48" s="20" t="s">
        <v>70</v>
      </c>
      <c r="I48" s="9"/>
    </row>
    <row r="49" spans="1:9" ht="12.75">
      <c r="A49" s="20" t="s">
        <v>77</v>
      </c>
      <c r="B49" s="9"/>
      <c r="C49" s="30" t="s">
        <v>101</v>
      </c>
      <c r="D49" s="9"/>
      <c r="F49" s="5">
        <f>10*LOG10(10^(F47/10)+10^(F48/10))</f>
        <v>75.8283597097594</v>
      </c>
      <c r="G49" s="32" t="s">
        <v>49</v>
      </c>
      <c r="H49" s="20" t="s">
        <v>72</v>
      </c>
      <c r="I49" s="9"/>
    </row>
  </sheetData>
  <sheetProtection/>
  <mergeCells count="1">
    <mergeCell ref="A23:J2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G37"/>
  <sheetViews>
    <sheetView zoomScale="112" zoomScaleNormal="112" zoomScalePageLayoutView="0" workbookViewId="0" topLeftCell="A1">
      <selection activeCell="B1" sqref="B1"/>
    </sheetView>
  </sheetViews>
  <sheetFormatPr defaultColWidth="8.8515625" defaultRowHeight="12.75"/>
  <cols>
    <col min="1" max="1" width="15.00390625" style="0" customWidth="1"/>
    <col min="2" max="2" width="12.7109375" style="0" bestFit="1" customWidth="1"/>
    <col min="3" max="3" width="11.00390625" style="0" customWidth="1"/>
    <col min="4" max="4" width="10.421875" style="0" bestFit="1" customWidth="1"/>
    <col min="5" max="5" width="12.7109375" style="0" bestFit="1" customWidth="1"/>
    <col min="6" max="6" width="10.28125" style="0" bestFit="1" customWidth="1"/>
    <col min="7" max="9" width="10.140625" style="0" bestFit="1" customWidth="1"/>
    <col min="10" max="13" width="8.8515625" style="0" customWidth="1"/>
    <col min="14" max="14" width="12.28125" style="0" bestFit="1" customWidth="1"/>
    <col min="15" max="20" width="8.8515625" style="0" customWidth="1"/>
    <col min="21" max="21" width="12.28125" style="0" bestFit="1" customWidth="1"/>
  </cols>
  <sheetData>
    <row r="2" spans="1:2" ht="12.75">
      <c r="A2" t="s">
        <v>0</v>
      </c>
      <c r="B2">
        <f>Principale!B3</f>
        <v>556919</v>
      </c>
    </row>
    <row r="3" spans="1:5" ht="12.75">
      <c r="A3" t="s">
        <v>1</v>
      </c>
      <c r="B3">
        <f>INT(B2/100000)</f>
        <v>5</v>
      </c>
      <c r="D3" t="s">
        <v>7</v>
      </c>
      <c r="E3">
        <f>A*10+B</f>
        <v>55</v>
      </c>
    </row>
    <row r="4" spans="1:5" ht="12.75">
      <c r="A4" t="s">
        <v>2</v>
      </c>
      <c r="B4">
        <f>INT((B2-B3*100000)/10000)</f>
        <v>5</v>
      </c>
      <c r="D4" t="s">
        <v>8</v>
      </c>
      <c r="E4">
        <f>CC*10+D</f>
        <v>69</v>
      </c>
    </row>
    <row r="5" spans="1:5" ht="12.75">
      <c r="A5" t="s">
        <v>3</v>
      </c>
      <c r="B5">
        <f>INT((B2-B3*100000-B4*10000)/1000)</f>
        <v>6</v>
      </c>
      <c r="D5" t="s">
        <v>9</v>
      </c>
      <c r="E5">
        <f>E*10+F</f>
        <v>19</v>
      </c>
    </row>
    <row r="6" spans="1:2" ht="12.75">
      <c r="A6" t="s">
        <v>4</v>
      </c>
      <c r="B6">
        <f>INT((B2-B3*100000-B4*10000-B5*1000)/100)</f>
        <v>9</v>
      </c>
    </row>
    <row r="7" spans="1:2" ht="12.75">
      <c r="A7" t="s">
        <v>5</v>
      </c>
      <c r="B7">
        <f>INT((B2-B3*100000-B4*10000-B5*1000-B6*100)/10)</f>
        <v>1</v>
      </c>
    </row>
    <row r="8" spans="1:2" ht="12.75">
      <c r="A8" t="s">
        <v>6</v>
      </c>
      <c r="B8">
        <f>INT((B2-B3*100000-B4*10000-B5*1000-B6*100-B7*10))</f>
        <v>9</v>
      </c>
    </row>
    <row r="10" ht="12.75">
      <c r="A10" s="2" t="s">
        <v>10</v>
      </c>
    </row>
    <row r="11" spans="1:2" ht="12.75">
      <c r="A11" t="s">
        <v>15</v>
      </c>
      <c r="B11">
        <f>90+F</f>
        <v>99</v>
      </c>
    </row>
    <row r="12" spans="1:2" ht="12.75">
      <c r="A12" t="s">
        <v>16</v>
      </c>
      <c r="B12">
        <f>5+E</f>
        <v>6</v>
      </c>
    </row>
    <row r="13" spans="1:3" ht="12.75">
      <c r="A13" t="s">
        <v>17</v>
      </c>
      <c r="B13">
        <f>95+D</f>
        <v>104</v>
      </c>
      <c r="C13" t="s">
        <v>18</v>
      </c>
    </row>
    <row r="14" spans="1:3" ht="12.75">
      <c r="A14" s="2" t="s">
        <v>19</v>
      </c>
      <c r="B14" s="2">
        <f>B13-10</f>
        <v>94</v>
      </c>
      <c r="C14" s="2" t="s">
        <v>18</v>
      </c>
    </row>
    <row r="15" spans="1:2" ht="12.75">
      <c r="A15" t="s">
        <v>20</v>
      </c>
      <c r="B15">
        <f>B11*B12</f>
        <v>594</v>
      </c>
    </row>
    <row r="16" spans="1:3" ht="12.75">
      <c r="A16" s="2" t="s">
        <v>21</v>
      </c>
      <c r="B16" s="2">
        <f>B14+10*LOG10(B15)</f>
        <v>121.73786444981194</v>
      </c>
      <c r="C16" s="2" t="s">
        <v>18</v>
      </c>
    </row>
    <row r="17" spans="1:3" ht="12.75">
      <c r="A17" s="6" t="s">
        <v>22</v>
      </c>
      <c r="B17">
        <f>B16+10*LOG10(7.5/100)</f>
        <v>110.48847708372894</v>
      </c>
      <c r="C17" s="6" t="s">
        <v>18</v>
      </c>
    </row>
    <row r="18" spans="1:3" ht="12.75">
      <c r="A18" s="2" t="s">
        <v>23</v>
      </c>
      <c r="B18" s="2">
        <f>B17-10*LOG10(16*3600)</f>
        <v>62.88425224949682</v>
      </c>
      <c r="C18" s="2" t="s">
        <v>18</v>
      </c>
    </row>
    <row r="20" ht="12.75">
      <c r="A20" s="2" t="s">
        <v>24</v>
      </c>
    </row>
    <row r="21" spans="1:7" ht="12.75">
      <c r="A21" s="6" t="s">
        <v>25</v>
      </c>
      <c r="B21">
        <f>78+F/10</f>
        <v>78.9</v>
      </c>
      <c r="C21" s="6" t="s">
        <v>12</v>
      </c>
      <c r="D21" s="6" t="s">
        <v>27</v>
      </c>
      <c r="E21" s="6">
        <f>0.00002*10^(B21/20)</f>
        <v>0.17620977460160306</v>
      </c>
      <c r="F21" s="6" t="s">
        <v>46</v>
      </c>
      <c r="G21">
        <f>B23-B24</f>
        <v>0.17620977460160303</v>
      </c>
    </row>
    <row r="22" spans="1:7" ht="12.75">
      <c r="A22" s="2" t="s">
        <v>26</v>
      </c>
      <c r="B22">
        <f>81+E/10</f>
        <v>81.1</v>
      </c>
      <c r="C22" s="6" t="s">
        <v>12</v>
      </c>
      <c r="D22" s="6" t="s">
        <v>28</v>
      </c>
      <c r="E22" s="6">
        <f>0.00002*10^(B22/20)</f>
        <v>0.2270021631344631</v>
      </c>
      <c r="F22" s="6" t="s">
        <v>46</v>
      </c>
      <c r="G22">
        <f>B23+B24</f>
        <v>0.2270021631344631</v>
      </c>
    </row>
    <row r="23" spans="1:5" ht="12.75">
      <c r="A23" s="6" t="s">
        <v>29</v>
      </c>
      <c r="B23">
        <f>(E22+E21)/2</f>
        <v>0.20160596886803306</v>
      </c>
      <c r="C23" s="2" t="s">
        <v>31</v>
      </c>
      <c r="D23" s="2">
        <f>20*LOG10(B23/0.00002)</f>
        <v>80.0694678056897</v>
      </c>
      <c r="E23" s="2" t="s">
        <v>12</v>
      </c>
    </row>
    <row r="24" spans="1:5" ht="12.75">
      <c r="A24" s="2" t="s">
        <v>30</v>
      </c>
      <c r="B24">
        <f>(E22-E21)/2</f>
        <v>0.025396194266430014</v>
      </c>
      <c r="C24" s="2" t="s">
        <v>32</v>
      </c>
      <c r="D24" s="2">
        <f>20*LOG10(B24/0.00002)</f>
        <v>62.074772897132306</v>
      </c>
      <c r="E24" s="2" t="s">
        <v>12</v>
      </c>
    </row>
    <row r="25" spans="1:2" ht="12.75">
      <c r="A25" s="2" t="s">
        <v>14</v>
      </c>
      <c r="B25" s="2">
        <f>1-(B24/B23)^2</f>
        <v>0.9841316961028646</v>
      </c>
    </row>
    <row r="27" ht="12.75">
      <c r="A27" s="2" t="s">
        <v>33</v>
      </c>
    </row>
    <row r="28" spans="1:3" ht="12.75">
      <c r="A28" s="2" t="s">
        <v>34</v>
      </c>
      <c r="B28">
        <v>400</v>
      </c>
      <c r="C28" s="6" t="s">
        <v>35</v>
      </c>
    </row>
    <row r="29" spans="1:6" ht="12.75">
      <c r="A29" s="2" t="s">
        <v>36</v>
      </c>
      <c r="B29">
        <f>5+F</f>
        <v>14</v>
      </c>
      <c r="C29" s="6" t="s">
        <v>12</v>
      </c>
      <c r="D29" s="8" t="s">
        <v>37</v>
      </c>
      <c r="F29" s="6" t="s">
        <v>47</v>
      </c>
    </row>
    <row r="30" spans="1:3" ht="12.75">
      <c r="A30" s="2" t="s">
        <v>13</v>
      </c>
      <c r="B30">
        <f>10+F</f>
        <v>19</v>
      </c>
      <c r="C30" s="6" t="s">
        <v>11</v>
      </c>
    </row>
    <row r="31" spans="1:4" ht="12.75">
      <c r="A31" s="2" t="s">
        <v>38</v>
      </c>
      <c r="C31" s="2">
        <f>(10^(B29/10)-3)/20</f>
        <v>1.10594321575479</v>
      </c>
      <c r="D31" s="8" t="s">
        <v>43</v>
      </c>
    </row>
    <row r="32" spans="1:4" ht="12.75">
      <c r="A32" s="2" t="s">
        <v>44</v>
      </c>
      <c r="C32">
        <f>C31*340/(2*400)</f>
        <v>0.4700258666957857</v>
      </c>
      <c r="D32" s="6" t="s">
        <v>11</v>
      </c>
    </row>
    <row r="33" spans="1:4" ht="12.75">
      <c r="A33" s="2" t="s">
        <v>39</v>
      </c>
      <c r="C33">
        <f>C32+B30</f>
        <v>19.470025866695785</v>
      </c>
      <c r="D33" s="6" t="s">
        <v>11</v>
      </c>
    </row>
    <row r="34" spans="1:3" ht="12.75">
      <c r="A34" s="2" t="s">
        <v>40</v>
      </c>
      <c r="C34">
        <f>C33/2</f>
        <v>9.735012933347893</v>
      </c>
    </row>
    <row r="35" spans="1:4" ht="12.75">
      <c r="A35" s="2" t="s">
        <v>41</v>
      </c>
      <c r="C35" s="2">
        <f>SQRT(C34^2-(B30/2)^2)</f>
        <v>2.12614129644545</v>
      </c>
      <c r="D35" s="2" t="s">
        <v>11</v>
      </c>
    </row>
    <row r="36" spans="1:3" ht="12.75">
      <c r="A36" s="2" t="s">
        <v>42</v>
      </c>
      <c r="C36">
        <f>2*C32*1000/340</f>
        <v>2.764858039386975</v>
      </c>
    </row>
    <row r="37" spans="1:4" ht="12.75">
      <c r="A37" s="2" t="s">
        <v>45</v>
      </c>
      <c r="C37" s="2">
        <f>10*LOG10(3+20*C36)</f>
        <v>17.65647404085883</v>
      </c>
      <c r="D37" s="2" t="s">
        <v>12</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Angelo Farina</dc:creator>
  <cp:keywords/>
  <dc:description/>
  <cp:lastModifiedBy>Angelo Farina</cp:lastModifiedBy>
  <dcterms:created xsi:type="dcterms:W3CDTF">1999-01-28T08:12:29Z</dcterms:created>
  <dcterms:modified xsi:type="dcterms:W3CDTF">2018-02-16T09:48:29Z</dcterms:modified>
  <cp:category/>
  <cp:version/>
  <cp:contentType/>
  <cp:contentStatus/>
</cp:coreProperties>
</file>