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0-05\"/>
    </mc:Choice>
  </mc:AlternateContent>
  <xr:revisionPtr revIDLastSave="0" documentId="13_ncr:1_{14D5B8C7-7A13-4909-8662-D958187E3174}" xr6:coauthVersionLast="47" xr6:coauthVersionMax="47" xr10:uidLastSave="{00000000-0000-0000-0000-000000000000}"/>
  <bookViews>
    <workbookView xWindow="878" yWindow="-98" windowWidth="22260" windowHeight="14595" activeTab="2" xr2:uid="{86F41CD3-16B0-4A7D-93CE-9ABB59478577}"/>
  </bookViews>
  <sheets>
    <sheet name="Entropia" sheetId="1" r:id="rId1"/>
    <sheet name="Gas perfetti" sheetId="2" r:id="rId2"/>
    <sheet name="Lavoro Espansione" sheetId="3" r:id="rId3"/>
  </sheets>
  <definedNames>
    <definedName name="cparia">'Gas perfetti'!$G$22</definedName>
    <definedName name="cvaria">'Lavoro Espansione'!$I$14</definedName>
    <definedName name="DeltaV">'Gas perfetti'!$K$26</definedName>
    <definedName name="Lamb">'Lavoro Espansione'!$I$10</definedName>
    <definedName name="LL">Entropia!$G$27</definedName>
    <definedName name="Ltot">'Lavoro Espansione'!$I$9</definedName>
    <definedName name="M">'Gas perfetti'!$C$25</definedName>
    <definedName name="MM">'Lavoro Espansione'!$C$21</definedName>
    <definedName name="p">'Gas perfetti'!$C$23</definedName>
    <definedName name="Q">Entropia!$D$6</definedName>
    <definedName name="Q_1">Entropia!$C$25</definedName>
    <definedName name="Q_2">Entropia!$C$28</definedName>
    <definedName name="Q_a1">'Lavoro Espansione'!$I$12</definedName>
    <definedName name="Q_a2">'Lavoro Espansione'!$I$13</definedName>
    <definedName name="QQ">Entropia!$C$14</definedName>
    <definedName name="QQQ">'Lavoro Espansione'!$I$12</definedName>
    <definedName name="R0">'Gas perfetti'!$H$3</definedName>
    <definedName name="Raria">'Gas perfetti'!$H$18</definedName>
    <definedName name="T">Entropia!$D$5</definedName>
    <definedName name="V">'Gas perfetti'!$C$22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3" l="1"/>
  <c r="J25" i="3"/>
  <c r="C21" i="3"/>
  <c r="I14" i="3"/>
  <c r="C22" i="3"/>
  <c r="I12" i="3" s="1"/>
  <c r="J20" i="3"/>
  <c r="J21" i="3" s="1"/>
  <c r="I11" i="3"/>
  <c r="I10" i="3"/>
  <c r="I9" i="3"/>
  <c r="H27" i="2"/>
  <c r="K26" i="2"/>
  <c r="H26" i="2"/>
  <c r="K25" i="2"/>
  <c r="H25" i="2"/>
  <c r="G24" i="2"/>
  <c r="C28" i="2"/>
  <c r="C27" i="2"/>
  <c r="C26" i="2"/>
  <c r="C25" i="2"/>
  <c r="C24" i="2"/>
  <c r="H19" i="2"/>
  <c r="H18" i="2"/>
  <c r="C35" i="1"/>
  <c r="C34" i="1"/>
  <c r="K27" i="1"/>
  <c r="G29" i="1"/>
  <c r="D31" i="1"/>
  <c r="D22" i="1"/>
  <c r="D28" i="1"/>
  <c r="G27" i="1"/>
  <c r="G14" i="1"/>
  <c r="D11" i="1"/>
  <c r="D17" i="1"/>
  <c r="B7" i="1"/>
  <c r="D6" i="1"/>
  <c r="I13" i="3" l="1"/>
  <c r="I15" i="3" s="1"/>
</calcChain>
</file>

<file path=xl/sharedStrings.xml><?xml version="1.0" encoding="utf-8"?>
<sst xmlns="http://schemas.openxmlformats.org/spreadsheetml/2006/main" count="171" uniqueCount="119">
  <si>
    <t>Entropia</t>
  </si>
  <si>
    <r>
      <rPr>
        <sz val="11"/>
        <color theme="1"/>
        <rFont val="Times New Roman"/>
        <family val="1"/>
      </rPr>
      <t>Δ</t>
    </r>
    <r>
      <rPr>
        <sz val="11"/>
        <color theme="1"/>
        <rFont val="Calibri"/>
        <family val="2"/>
      </rPr>
      <t>S =</t>
    </r>
    <r>
      <rPr>
        <sz val="11"/>
        <color theme="1"/>
        <rFont val="Calibri"/>
        <family val="1"/>
      </rPr>
      <t xml:space="preserve"> Q / T</t>
    </r>
  </si>
  <si>
    <t>Esempio: casa a T =</t>
  </si>
  <si>
    <t>°C</t>
  </si>
  <si>
    <t>K</t>
  </si>
  <si>
    <t>Calore ricevuto Q =</t>
  </si>
  <si>
    <t>kWh</t>
  </si>
  <si>
    <t>J</t>
  </si>
  <si>
    <t xml:space="preserve">Increm Entropia ΔS = </t>
  </si>
  <si>
    <t>J/K</t>
  </si>
  <si>
    <t>Q =</t>
  </si>
  <si>
    <t xml:space="preserve">ΔS2 = </t>
  </si>
  <si>
    <t xml:space="preserve">ΔS1 = </t>
  </si>
  <si>
    <t xml:space="preserve">ΔStot = </t>
  </si>
  <si>
    <t>processo irreversibile</t>
  </si>
  <si>
    <t>aumento dell'entropia</t>
  </si>
  <si>
    <t>processo reversibile</t>
  </si>
  <si>
    <t>Q1 =</t>
  </si>
  <si>
    <t>Q2 =</t>
  </si>
  <si>
    <r>
      <t xml:space="preserve">L = Q1-Q2 = </t>
    </r>
    <r>
      <rPr>
        <sz val="11"/>
        <color theme="1"/>
        <rFont val="Times New Roman"/>
        <family val="1"/>
      </rPr>
      <t>ε</t>
    </r>
    <r>
      <rPr>
        <vertAlign val="sub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>*Q1</t>
    </r>
    <r>
      <rPr>
        <sz val="11"/>
        <color theme="1"/>
        <rFont val="Calibri"/>
        <family val="2"/>
        <scheme val="minor"/>
      </rPr>
      <t xml:space="preserve"> = (1-T2/T1)*Q1 =</t>
    </r>
  </si>
  <si>
    <t>macchina di</t>
  </si>
  <si>
    <t>Carnot</t>
  </si>
  <si>
    <t>= Q1-L =</t>
  </si>
  <si>
    <t>Q3 = L*COP =</t>
  </si>
  <si>
    <t>Qtot =</t>
  </si>
  <si>
    <t>Rendim =</t>
  </si>
  <si>
    <t>Gas Perfetti</t>
  </si>
  <si>
    <t>Legge dei gas perfetti</t>
  </si>
  <si>
    <t>Chimici</t>
  </si>
  <si>
    <t>pV=nRoT</t>
  </si>
  <si>
    <t>Ingegneri</t>
  </si>
  <si>
    <t>pV=MRT</t>
  </si>
  <si>
    <t>p in Pa</t>
  </si>
  <si>
    <t>V in m3</t>
  </si>
  <si>
    <t>T in K</t>
  </si>
  <si>
    <t>Ingredienti</t>
  </si>
  <si>
    <t>Ro J/kmolK</t>
  </si>
  <si>
    <t>M in kg</t>
  </si>
  <si>
    <t>n in kmol</t>
  </si>
  <si>
    <t>R J/kgK</t>
  </si>
  <si>
    <t>Costante Universale dei gas perfotti</t>
  </si>
  <si>
    <t>Costante specifica del gas</t>
  </si>
  <si>
    <r>
      <t>R = Ro/</t>
    </r>
    <r>
      <rPr>
        <sz val="11"/>
        <color theme="1"/>
        <rFont val="Times New Roman"/>
        <family val="1"/>
      </rPr>
      <t>μ =</t>
    </r>
  </si>
  <si>
    <r>
      <t xml:space="preserve">massa molare </t>
    </r>
    <r>
      <rPr>
        <sz val="11"/>
        <color theme="1"/>
        <rFont val="Times New Roman"/>
        <family val="1"/>
      </rPr>
      <t>μ</t>
    </r>
    <r>
      <rPr>
        <sz val="11"/>
        <color theme="1"/>
        <rFont val="Calibri"/>
        <family val="2"/>
      </rPr>
      <t xml:space="preserve"> = M/n (kg/kmol)</t>
    </r>
  </si>
  <si>
    <t>Acqua</t>
  </si>
  <si>
    <t>kg/kmol</t>
  </si>
  <si>
    <t>H2</t>
  </si>
  <si>
    <t>He2</t>
  </si>
  <si>
    <t>Azoto</t>
  </si>
  <si>
    <t>Ossigeno</t>
  </si>
  <si>
    <t xml:space="preserve">CO2 </t>
  </si>
  <si>
    <t>aria</t>
  </si>
  <si>
    <t>Raria =</t>
  </si>
  <si>
    <t>J/kgK</t>
  </si>
  <si>
    <t>RH2O =</t>
  </si>
  <si>
    <t>pv=RT</t>
  </si>
  <si>
    <t>Esempi con aria</t>
  </si>
  <si>
    <t>Stanza con V =</t>
  </si>
  <si>
    <t>m3</t>
  </si>
  <si>
    <t>pressione p =</t>
  </si>
  <si>
    <t>Pa</t>
  </si>
  <si>
    <t>Temperatura T =</t>
  </si>
  <si>
    <t>Ro =</t>
  </si>
  <si>
    <t>J/kmolK</t>
  </si>
  <si>
    <t>Massa M = pV/RT =</t>
  </si>
  <si>
    <t>kg</t>
  </si>
  <si>
    <t>n. moli n = pV/RoT =</t>
  </si>
  <si>
    <t>kmol</t>
  </si>
  <si>
    <t>volume specifico v =</t>
  </si>
  <si>
    <t>m3/kg</t>
  </si>
  <si>
    <r>
      <t xml:space="preserve">densità </t>
    </r>
    <r>
      <rPr>
        <sz val="11"/>
        <color theme="1"/>
        <rFont val="Calibri"/>
        <family val="2"/>
      </rPr>
      <t>ρ</t>
    </r>
    <r>
      <rPr>
        <sz val="11"/>
        <color theme="1"/>
        <rFont val="Calibri"/>
        <family val="2"/>
        <scheme val="minor"/>
      </rPr>
      <t xml:space="preserve"> = 1/v =</t>
    </r>
  </si>
  <si>
    <t>kg/m3</t>
  </si>
  <si>
    <t>Capacità termica specifica a pressione costante</t>
  </si>
  <si>
    <t>cparia =</t>
  </si>
  <si>
    <t>T2 = T + Q/(M*cparia) =</t>
  </si>
  <si>
    <t>DeltaT =</t>
  </si>
  <si>
    <t>V2 = MRT2/p =</t>
  </si>
  <si>
    <t>DeltaV =</t>
  </si>
  <si>
    <t>V</t>
  </si>
  <si>
    <t>p (Pa=</t>
  </si>
  <si>
    <t>100000 Pa</t>
  </si>
  <si>
    <t xml:space="preserve">   V1 </t>
  </si>
  <si>
    <t xml:space="preserve">     V2</t>
  </si>
  <si>
    <t>L = p*DeltaV =</t>
  </si>
  <si>
    <t>Lavoro Espansione</t>
  </si>
  <si>
    <t>V1 =</t>
  </si>
  <si>
    <t>l</t>
  </si>
  <si>
    <t>V2 =</t>
  </si>
  <si>
    <t>p1 =</t>
  </si>
  <si>
    <t>bar</t>
  </si>
  <si>
    <t>p2 =</t>
  </si>
  <si>
    <t>a) isobaro</t>
  </si>
  <si>
    <r>
      <t>c) adiabatico con legge pv^</t>
    </r>
    <r>
      <rPr>
        <sz val="11"/>
        <color theme="1"/>
        <rFont val="Times New Roman"/>
        <family val="1"/>
      </rPr>
      <t>γ</t>
    </r>
    <r>
      <rPr>
        <sz val="11"/>
        <color theme="1"/>
        <rFont val="Calibri"/>
        <family val="2"/>
        <scheme val="minor"/>
      </rPr>
      <t xml:space="preserve"> = costante</t>
    </r>
  </si>
  <si>
    <t>Q = M*cp*(T2-T1)</t>
  </si>
  <si>
    <t>b) lineare</t>
  </si>
  <si>
    <t>per ciascuna delle tre trasformazioni, calcolare lavoro L e calore Q</t>
  </si>
  <si>
    <t>Ltot = p*(V2-V1) =</t>
  </si>
  <si>
    <t>Lamb =p0*(V2-V1)</t>
  </si>
  <si>
    <t>caso a)</t>
  </si>
  <si>
    <t>Lnetto = Ltot - Lamb =</t>
  </si>
  <si>
    <t>caso b)</t>
  </si>
  <si>
    <t>Lnetto = (V2-V1)*(p1-p2)/2 =</t>
  </si>
  <si>
    <t>Ltot = Lnetto + Lamb =</t>
  </si>
  <si>
    <t>caso c)</t>
  </si>
  <si>
    <t>M = p1*V1/(R*T1) =</t>
  </si>
  <si>
    <t>T1 =</t>
  </si>
  <si>
    <t>T2 =</t>
  </si>
  <si>
    <t>Tc = p1*V2/(MR) =</t>
  </si>
  <si>
    <t>Primo principio: E2-E1 = -L</t>
  </si>
  <si>
    <t>Qa1 = M*cp*(Tc-T1) =</t>
  </si>
  <si>
    <t>Qa2 = M*cv*(T2-Tc) =</t>
  </si>
  <si>
    <t>cv = 3/5*cp =</t>
  </si>
  <si>
    <t>E2-E1 = Qa1+Qa2-L =</t>
  </si>
  <si>
    <t>L = E1-E2 =</t>
  </si>
  <si>
    <t>p*V^(5/3) =p1*V1^(5/3) =K</t>
  </si>
  <si>
    <t>p(V) =K*V^(-5/3)</t>
  </si>
  <si>
    <t>Faccio l'intergale da V1 a V2</t>
  </si>
  <si>
    <t>= 1/(n+1)*K*V^(n+1)</t>
  </si>
  <si>
    <t>L=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</si>
</sst>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1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quotePrefix="1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505239</xdr:colOff>
      <xdr:row>9</xdr:row>
      <xdr:rowOff>37271</xdr:rowOff>
    </xdr:from>
    <xdr:to>
      <xdr:col>2</xdr:col>
      <xdr:colOff>62119</xdr:colOff>
      <xdr:row>12</xdr:row>
      <xdr:rowOff>37272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71D571-5325-D60E-27FA-A07B402048CF}"/>
            </a:ext>
          </a:extLst>
        </xdr:cNvPr>
        <xdr:cNvSpPr txBox="1"/>
      </xdr:nvSpPr>
      <xdr:spPr>
        <a:xfrm>
          <a:off x="505239" y="1658592"/>
          <a:ext cx="1405973" cy="54044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T1 = 400 K</a:t>
          </a:r>
        </a:p>
      </xdr:txBody>
    </xdr:sp>
    <xdr:clientData/>
  </xdr:twoCellAnchor>
  <xdr:twoCellAnchor>
    <xdr:from>
      <xdr:col>0</xdr:col>
      <xdr:colOff>501097</xdr:colOff>
      <xdr:row>14</xdr:row>
      <xdr:rowOff>163581</xdr:rowOff>
    </xdr:from>
    <xdr:to>
      <xdr:col>2</xdr:col>
      <xdr:colOff>57977</xdr:colOff>
      <xdr:row>17</xdr:row>
      <xdr:rowOff>163581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642DA5-7480-43CD-8E9A-5D98E5608DC8}"/>
            </a:ext>
          </a:extLst>
        </xdr:cNvPr>
        <xdr:cNvSpPr txBox="1"/>
      </xdr:nvSpPr>
      <xdr:spPr>
        <a:xfrm>
          <a:off x="501097" y="2685635"/>
          <a:ext cx="1405973" cy="540441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T2 = 300 K</a:t>
          </a:r>
        </a:p>
      </xdr:txBody>
    </xdr:sp>
    <xdr:clientData/>
  </xdr:twoCellAnchor>
  <xdr:twoCellAnchor>
    <xdr:from>
      <xdr:col>0</xdr:col>
      <xdr:colOff>1093305</xdr:colOff>
      <xdr:row>12</xdr:row>
      <xdr:rowOff>68331</xdr:rowOff>
    </xdr:from>
    <xdr:to>
      <xdr:col>1</xdr:col>
      <xdr:colOff>113887</xdr:colOff>
      <xdr:row>14</xdr:row>
      <xdr:rowOff>134592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88E2C5E0-B5C5-7EE5-2CDA-CCB9FF173093}"/>
            </a:ext>
          </a:extLst>
        </xdr:cNvPr>
        <xdr:cNvSpPr/>
      </xdr:nvSpPr>
      <xdr:spPr>
        <a:xfrm>
          <a:off x="1093305" y="2230092"/>
          <a:ext cx="221560" cy="42655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325092</xdr:colOff>
      <xdr:row>9</xdr:row>
      <xdr:rowOff>134592</xdr:rowOff>
    </xdr:from>
    <xdr:to>
      <xdr:col>4</xdr:col>
      <xdr:colOff>528016</xdr:colOff>
      <xdr:row>17</xdr:row>
      <xdr:rowOff>28989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933359FB-7B57-0BCD-CB1C-63B464E8762B}"/>
            </a:ext>
          </a:extLst>
        </xdr:cNvPr>
        <xdr:cNvSpPr/>
      </xdr:nvSpPr>
      <xdr:spPr>
        <a:xfrm>
          <a:off x="3470413" y="1755913"/>
          <a:ext cx="202924" cy="133557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501099</xdr:colOff>
      <xdr:row>20</xdr:row>
      <xdr:rowOff>2070</xdr:rowOff>
    </xdr:from>
    <xdr:to>
      <xdr:col>2</xdr:col>
      <xdr:colOff>57979</xdr:colOff>
      <xdr:row>23</xdr:row>
      <xdr:rowOff>2071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FA1C44A-E134-4A28-980E-44326D0C058B}"/>
            </a:ext>
          </a:extLst>
        </xdr:cNvPr>
        <xdr:cNvSpPr txBox="1"/>
      </xdr:nvSpPr>
      <xdr:spPr>
        <a:xfrm>
          <a:off x="501099" y="3605005"/>
          <a:ext cx="1405973" cy="54044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T1 = 400 K</a:t>
          </a:r>
        </a:p>
      </xdr:txBody>
    </xdr:sp>
    <xdr:clientData/>
  </xdr:twoCellAnchor>
  <xdr:twoCellAnchor>
    <xdr:from>
      <xdr:col>0</xdr:col>
      <xdr:colOff>548722</xdr:colOff>
      <xdr:row>28</xdr:row>
      <xdr:rowOff>118027</xdr:rowOff>
    </xdr:from>
    <xdr:to>
      <xdr:col>2</xdr:col>
      <xdr:colOff>105602</xdr:colOff>
      <xdr:row>31</xdr:row>
      <xdr:rowOff>118028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A53F181-AD58-4D13-AB1C-EB1629D1FCF8}"/>
            </a:ext>
          </a:extLst>
        </xdr:cNvPr>
        <xdr:cNvSpPr txBox="1"/>
      </xdr:nvSpPr>
      <xdr:spPr>
        <a:xfrm>
          <a:off x="548722" y="5162136"/>
          <a:ext cx="1405973" cy="540441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T2 = 300 K</a:t>
          </a:r>
        </a:p>
      </xdr:txBody>
    </xdr:sp>
    <xdr:clientData/>
  </xdr:twoCellAnchor>
  <xdr:twoCellAnchor>
    <xdr:from>
      <xdr:col>0</xdr:col>
      <xdr:colOff>1099518</xdr:colOff>
      <xdr:row>23</xdr:row>
      <xdr:rowOff>16566</xdr:rowOff>
    </xdr:from>
    <xdr:to>
      <xdr:col>1</xdr:col>
      <xdr:colOff>120100</xdr:colOff>
      <xdr:row>24</xdr:row>
      <xdr:rowOff>171864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29D4D19C-0020-4B7E-81B0-D5DD5C35AD8E}"/>
            </a:ext>
          </a:extLst>
        </xdr:cNvPr>
        <xdr:cNvSpPr/>
      </xdr:nvSpPr>
      <xdr:spPr>
        <a:xfrm>
          <a:off x="1099518" y="4159941"/>
          <a:ext cx="221560" cy="3354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1029114</xdr:colOff>
      <xdr:row>25</xdr:row>
      <xdr:rowOff>4141</xdr:rowOff>
    </xdr:from>
    <xdr:to>
      <xdr:col>1</xdr:col>
      <xdr:colOff>198783</xdr:colOff>
      <xdr:row>26</xdr:row>
      <xdr:rowOff>134593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13D6436C-3BDD-BC80-22DC-600359D5236B}"/>
            </a:ext>
          </a:extLst>
        </xdr:cNvPr>
        <xdr:cNvSpPr/>
      </xdr:nvSpPr>
      <xdr:spPr>
        <a:xfrm>
          <a:off x="1029114" y="4507810"/>
          <a:ext cx="370647" cy="310598"/>
        </a:xfrm>
        <a:prstGeom prst="ellipse">
          <a:avLst/>
        </a:prstGeom>
        <a:solidFill>
          <a:srgbClr val="7030A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1116082</xdr:colOff>
      <xdr:row>26</xdr:row>
      <xdr:rowOff>153228</xdr:rowOff>
    </xdr:from>
    <xdr:to>
      <xdr:col>1</xdr:col>
      <xdr:colOff>136664</xdr:colOff>
      <xdr:row>28</xdr:row>
      <xdr:rowOff>128379</xdr:rowOff>
    </xdr:to>
    <xdr:sp macro="" textlink="">
      <xdr:nvSpPr>
        <xdr:cNvPr id="10" name="Arrow: Down 9">
          <a:extLst>
            <a:ext uri="{FF2B5EF4-FFF2-40B4-BE49-F238E27FC236}">
              <a16:creationId xmlns:a16="http://schemas.microsoft.com/office/drawing/2014/main" id="{B9A952BD-5CE5-40A3-A21D-2C725BC0B30D}"/>
            </a:ext>
          </a:extLst>
        </xdr:cNvPr>
        <xdr:cNvSpPr/>
      </xdr:nvSpPr>
      <xdr:spPr>
        <a:xfrm>
          <a:off x="1116082" y="4837043"/>
          <a:ext cx="221560" cy="3354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216386</xdr:colOff>
      <xdr:row>25</xdr:row>
      <xdr:rowOff>67297</xdr:rowOff>
    </xdr:from>
    <xdr:to>
      <xdr:col>1</xdr:col>
      <xdr:colOff>551831</xdr:colOff>
      <xdr:row>26</xdr:row>
      <xdr:rowOff>108711</xdr:rowOff>
    </xdr:to>
    <xdr:sp macro="" textlink="">
      <xdr:nvSpPr>
        <xdr:cNvPr id="11" name="Arrow: Down 10">
          <a:extLst>
            <a:ext uri="{FF2B5EF4-FFF2-40B4-BE49-F238E27FC236}">
              <a16:creationId xmlns:a16="http://schemas.microsoft.com/office/drawing/2014/main" id="{C1B00F91-BE6E-458D-A8CB-B3CD7FC91B23}"/>
            </a:ext>
          </a:extLst>
        </xdr:cNvPr>
        <xdr:cNvSpPr/>
      </xdr:nvSpPr>
      <xdr:spPr>
        <a:xfrm rot="16200000">
          <a:off x="1474307" y="4514023"/>
          <a:ext cx="221560" cy="335445"/>
        </a:xfrm>
        <a:prstGeom prst="down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339587</xdr:colOff>
      <xdr:row>20</xdr:row>
      <xdr:rowOff>176005</xdr:rowOff>
    </xdr:from>
    <xdr:to>
      <xdr:col>4</xdr:col>
      <xdr:colOff>542511</xdr:colOff>
      <xdr:row>30</xdr:row>
      <xdr:rowOff>173934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FBFA1456-1F6D-4A1B-93BD-F2F87529A9EF}"/>
            </a:ext>
          </a:extLst>
        </xdr:cNvPr>
        <xdr:cNvSpPr/>
      </xdr:nvSpPr>
      <xdr:spPr>
        <a:xfrm>
          <a:off x="3484908" y="3778940"/>
          <a:ext cx="202924" cy="1820103"/>
        </a:xfrm>
        <a:prstGeom prst="rightBrace">
          <a:avLst>
            <a:gd name="adj1" fmla="val 8333"/>
            <a:gd name="adj2" fmla="val 7525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635000</xdr:colOff>
      <xdr:row>35</xdr:row>
      <xdr:rowOff>177271</xdr:rowOff>
    </xdr:from>
    <xdr:to>
      <xdr:col>9</xdr:col>
      <xdr:colOff>383646</xdr:colOff>
      <xdr:row>36</xdr:row>
      <xdr:rowOff>5292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B2E6166-9441-982A-1BD9-B44EEA53F48B}"/>
            </a:ext>
          </a:extLst>
        </xdr:cNvPr>
        <xdr:cNvCxnSpPr/>
      </xdr:nvCxnSpPr>
      <xdr:spPr>
        <a:xfrm flipV="1">
          <a:off x="3227917" y="6474354"/>
          <a:ext cx="3066521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631295</xdr:colOff>
      <xdr:row>27</xdr:row>
      <xdr:rowOff>156104</xdr:rowOff>
    </xdr:from>
    <xdr:to>
      <xdr:col>4</xdr:col>
      <xdr:colOff>632354</xdr:colOff>
      <xdr:row>36</xdr:row>
      <xdr:rowOff>1588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728DF8E-399B-4CDA-AA86-86D81753B3AD}"/>
            </a:ext>
          </a:extLst>
        </xdr:cNvPr>
        <xdr:cNvCxnSpPr/>
      </xdr:nvCxnSpPr>
      <xdr:spPr>
        <a:xfrm flipV="1">
          <a:off x="3224212" y="5013854"/>
          <a:ext cx="1059" cy="14647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173567</xdr:colOff>
      <xdr:row>32</xdr:row>
      <xdr:rowOff>92605</xdr:rowOff>
    </xdr:from>
    <xdr:to>
      <xdr:col>7</xdr:col>
      <xdr:colOff>399521</xdr:colOff>
      <xdr:row>32</xdr:row>
      <xdr:rowOff>94192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ED26BDC-D67D-471E-8156-DFA61A874443}"/>
            </a:ext>
          </a:extLst>
        </xdr:cNvPr>
        <xdr:cNvCxnSpPr/>
      </xdr:nvCxnSpPr>
      <xdr:spPr>
        <a:xfrm flipV="1">
          <a:off x="4062942" y="5849938"/>
          <a:ext cx="950912" cy="158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145521</xdr:colOff>
      <xdr:row>32</xdr:row>
      <xdr:rowOff>63500</xdr:rowOff>
    </xdr:from>
    <xdr:to>
      <xdr:col>6</xdr:col>
      <xdr:colOff>195792</xdr:colOff>
      <xdr:row>32</xdr:row>
      <xdr:rowOff>134938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DDAA7B28-C1F9-3AD8-035E-C5E71A157B53}"/>
            </a:ext>
          </a:extLst>
        </xdr:cNvPr>
        <xdr:cNvSpPr/>
      </xdr:nvSpPr>
      <xdr:spPr>
        <a:xfrm>
          <a:off x="4034896" y="5820833"/>
          <a:ext cx="50271" cy="7143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369359</xdr:colOff>
      <xdr:row>32</xdr:row>
      <xdr:rowOff>51858</xdr:rowOff>
    </xdr:from>
    <xdr:to>
      <xdr:col>7</xdr:col>
      <xdr:colOff>419630</xdr:colOff>
      <xdr:row>32</xdr:row>
      <xdr:rowOff>123296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C89A4252-C9C2-4CCC-880A-0F02BCA44E4F}"/>
            </a:ext>
          </a:extLst>
        </xdr:cNvPr>
        <xdr:cNvSpPr/>
      </xdr:nvSpPr>
      <xdr:spPr>
        <a:xfrm>
          <a:off x="4983692" y="5809191"/>
          <a:ext cx="50271" cy="7143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170657</xdr:colOff>
      <xdr:row>32</xdr:row>
      <xdr:rowOff>134938</xdr:rowOff>
    </xdr:from>
    <xdr:to>
      <xdr:col>6</xdr:col>
      <xdr:colOff>177271</xdr:colOff>
      <xdr:row>36</xdr:row>
      <xdr:rowOff>42333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BD248346-6529-8216-DEE4-DC1562F137A9}"/>
            </a:ext>
          </a:extLst>
        </xdr:cNvPr>
        <xdr:cNvCxnSpPr>
          <a:stCxn id="8" idx="4"/>
        </xdr:cNvCxnSpPr>
      </xdr:nvCxnSpPr>
      <xdr:spPr>
        <a:xfrm>
          <a:off x="4060032" y="5892271"/>
          <a:ext cx="6614" cy="6270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402432</xdr:colOff>
      <xdr:row>32</xdr:row>
      <xdr:rowOff>120651</xdr:rowOff>
    </xdr:from>
    <xdr:to>
      <xdr:col>7</xdr:col>
      <xdr:colOff>409046</xdr:colOff>
      <xdr:row>36</xdr:row>
      <xdr:rowOff>28046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D00EC35D-1DC5-48B1-B39E-93E9F41E746B}"/>
            </a:ext>
          </a:extLst>
        </xdr:cNvPr>
        <xdr:cNvCxnSpPr/>
      </xdr:nvCxnSpPr>
      <xdr:spPr>
        <a:xfrm>
          <a:off x="5016765" y="5877984"/>
          <a:ext cx="6614" cy="6270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</xdr:colOff>
      <xdr:row>1</xdr:row>
      <xdr:rowOff>125863</xdr:rowOff>
    </xdr:from>
    <xdr:to>
      <xdr:col>5</xdr:col>
      <xdr:colOff>563342</xdr:colOff>
      <xdr:row>17</xdr:row>
      <xdr:rowOff>12244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6345B2-0ED2-941D-2A0B-7D37D3B6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544" y="306158"/>
          <a:ext cx="3138494" cy="2771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381000</xdr:colOff>
      <xdr:row>3</xdr:row>
      <xdr:rowOff>71437</xdr:rowOff>
    </xdr:from>
    <xdr:to>
      <xdr:col>4</xdr:col>
      <xdr:colOff>602116</xdr:colOff>
      <xdr:row>4</xdr:row>
      <xdr:rowOff>112258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2300876-087C-BD8D-A8E7-D3231307555B}"/>
            </a:ext>
          </a:extLst>
        </xdr:cNvPr>
        <xdr:cNvSpPr txBox="1"/>
      </xdr:nvSpPr>
      <xdr:spPr>
        <a:xfrm>
          <a:off x="2966357" y="612321"/>
          <a:ext cx="221116" cy="2211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</a:t>
          </a:r>
        </a:p>
      </xdr:txBody>
    </xdr:sp>
    <xdr:clientData/>
  </xdr:twoCellAnchor>
  <xdr:twoCellAnchor editAs="oneCell">
    <xdr:from>
      <xdr:col>0</xdr:col>
      <xdr:colOff>136071</xdr:colOff>
      <xdr:row>28</xdr:row>
      <xdr:rowOff>30616</xdr:rowOff>
    </xdr:from>
    <xdr:to>
      <xdr:col>2</xdr:col>
      <xdr:colOff>449035</xdr:colOff>
      <xdr:row>32</xdr:row>
      <xdr:rowOff>13194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EDDDC4-0B8E-2A37-389E-599C7B1F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5078866"/>
          <a:ext cx="1605643" cy="703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43F2C-5406-421B-A3D6-34EF57FC380B}">
  <dimension ref="A1:L35"/>
  <sheetViews>
    <sheetView topLeftCell="A6" zoomScale="230" zoomScaleNormal="230" workbookViewId="0">
      <selection activeCell="C14" sqref="C14"/>
    </sheetView>
  </sheetViews>
  <sheetFormatPr defaultRowHeight="14.25" x14ac:dyDescent="0.45"/>
  <cols>
    <col min="1" max="1" width="16.796875" customWidth="1"/>
  </cols>
  <sheetData>
    <row r="1" spans="1:8" x14ac:dyDescent="0.45">
      <c r="A1" t="s">
        <v>0</v>
      </c>
    </row>
    <row r="3" spans="1:8" x14ac:dyDescent="0.45">
      <c r="A3" s="1" t="s">
        <v>1</v>
      </c>
    </row>
    <row r="5" spans="1:8" x14ac:dyDescent="0.45">
      <c r="A5" t="s">
        <v>2</v>
      </c>
      <c r="B5">
        <v>20</v>
      </c>
      <c r="C5" t="s">
        <v>3</v>
      </c>
      <c r="D5">
        <v>293</v>
      </c>
      <c r="E5" t="s">
        <v>4</v>
      </c>
    </row>
    <row r="6" spans="1:8" x14ac:dyDescent="0.45">
      <c r="A6" t="s">
        <v>5</v>
      </c>
      <c r="B6">
        <v>10</v>
      </c>
      <c r="C6" t="s">
        <v>6</v>
      </c>
      <c r="D6">
        <f>B6*3600000</f>
        <v>36000000</v>
      </c>
      <c r="E6" t="s">
        <v>7</v>
      </c>
    </row>
    <row r="7" spans="1:8" x14ac:dyDescent="0.45">
      <c r="A7" t="s">
        <v>8</v>
      </c>
      <c r="B7">
        <f>Q/T</f>
        <v>122866.89419795222</v>
      </c>
      <c r="C7" t="s">
        <v>9</v>
      </c>
    </row>
    <row r="9" spans="1:8" x14ac:dyDescent="0.45">
      <c r="A9" t="s">
        <v>14</v>
      </c>
    </row>
    <row r="11" spans="1:8" x14ac:dyDescent="0.45">
      <c r="C11" s="3" t="s">
        <v>12</v>
      </c>
      <c r="D11">
        <f>-QQ/400</f>
        <v>-2500</v>
      </c>
      <c r="E11" t="s">
        <v>9</v>
      </c>
    </row>
    <row r="14" spans="1:8" x14ac:dyDescent="0.45">
      <c r="B14" s="2" t="s">
        <v>10</v>
      </c>
      <c r="C14">
        <v>1000000</v>
      </c>
      <c r="D14" t="s">
        <v>7</v>
      </c>
      <c r="F14" s="3" t="s">
        <v>13</v>
      </c>
      <c r="G14">
        <f>D11+D17</f>
        <v>833.33333333333348</v>
      </c>
      <c r="H14" t="s">
        <v>9</v>
      </c>
    </row>
    <row r="15" spans="1:8" x14ac:dyDescent="0.45">
      <c r="F15" t="s">
        <v>15</v>
      </c>
    </row>
    <row r="17" spans="1:12" x14ac:dyDescent="0.45">
      <c r="C17" s="3" t="s">
        <v>11</v>
      </c>
      <c r="D17">
        <f>QQ/300</f>
        <v>3333.3333333333335</v>
      </c>
      <c r="E17" t="s">
        <v>9</v>
      </c>
    </row>
    <row r="20" spans="1:12" x14ac:dyDescent="0.45">
      <c r="A20" t="s">
        <v>16</v>
      </c>
    </row>
    <row r="22" spans="1:12" x14ac:dyDescent="0.45">
      <c r="C22" s="3" t="s">
        <v>12</v>
      </c>
      <c r="D22">
        <f>-QQ/400</f>
        <v>-2500</v>
      </c>
      <c r="E22" t="s">
        <v>9</v>
      </c>
    </row>
    <row r="25" spans="1:12" x14ac:dyDescent="0.45">
      <c r="B25" s="2" t="s">
        <v>17</v>
      </c>
      <c r="C25">
        <v>1000000</v>
      </c>
      <c r="D25" t="s">
        <v>7</v>
      </c>
    </row>
    <row r="26" spans="1:12" x14ac:dyDescent="0.45">
      <c r="A26" s="2" t="s">
        <v>20</v>
      </c>
    </row>
    <row r="27" spans="1:12" ht="15.75" x14ac:dyDescent="0.55000000000000004">
      <c r="A27" s="2" t="s">
        <v>21</v>
      </c>
      <c r="C27" s="4" t="s">
        <v>19</v>
      </c>
      <c r="G27">
        <f>QQ*(1-300/400)</f>
        <v>250000</v>
      </c>
      <c r="H27" t="s">
        <v>7</v>
      </c>
      <c r="I27" t="s">
        <v>23</v>
      </c>
      <c r="K27">
        <f>LL*4</f>
        <v>1000000</v>
      </c>
      <c r="L27" t="s">
        <v>7</v>
      </c>
    </row>
    <row r="28" spans="1:12" x14ac:dyDescent="0.45">
      <c r="B28" s="2" t="s">
        <v>18</v>
      </c>
      <c r="C28" s="5" t="s">
        <v>22</v>
      </c>
      <c r="D28">
        <f>Q_1-LL</f>
        <v>750000</v>
      </c>
      <c r="E28" t="s">
        <v>7</v>
      </c>
    </row>
    <row r="29" spans="1:12" x14ac:dyDescent="0.45">
      <c r="F29" s="3" t="s">
        <v>13</v>
      </c>
      <c r="G29">
        <f>D22+D31</f>
        <v>0</v>
      </c>
      <c r="H29" t="s">
        <v>9</v>
      </c>
    </row>
    <row r="31" spans="1:12" x14ac:dyDescent="0.45">
      <c r="C31" s="3" t="s">
        <v>11</v>
      </c>
      <c r="D31">
        <f>D28/300</f>
        <v>2500</v>
      </c>
      <c r="E31" t="s">
        <v>9</v>
      </c>
    </row>
    <row r="34" spans="2:4" x14ac:dyDescent="0.45">
      <c r="B34" t="s">
        <v>24</v>
      </c>
      <c r="C34">
        <f>D28+K27</f>
        <v>1750000</v>
      </c>
      <c r="D34" t="s">
        <v>7</v>
      </c>
    </row>
    <row r="35" spans="2:4" x14ac:dyDescent="0.45">
      <c r="B35" t="s">
        <v>25</v>
      </c>
      <c r="C35" s="6">
        <f>C34/Q_1</f>
        <v>1.75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7ED5-7FE2-4417-87AF-133674158BA0}">
  <dimension ref="A1:L37"/>
  <sheetViews>
    <sheetView topLeftCell="B21" zoomScale="180" zoomScaleNormal="180" workbookViewId="0">
      <selection activeCell="C25" sqref="C25"/>
    </sheetView>
  </sheetViews>
  <sheetFormatPr defaultRowHeight="14.25" x14ac:dyDescent="0.45"/>
  <cols>
    <col min="7" max="7" width="10.1328125" customWidth="1"/>
  </cols>
  <sheetData>
    <row r="1" spans="1:9" x14ac:dyDescent="0.45">
      <c r="A1" s="7" t="s">
        <v>26</v>
      </c>
    </row>
    <row r="2" spans="1:9" x14ac:dyDescent="0.45">
      <c r="G2" t="s">
        <v>40</v>
      </c>
    </row>
    <row r="3" spans="1:9" x14ac:dyDescent="0.45">
      <c r="A3" t="s">
        <v>27</v>
      </c>
      <c r="D3" t="s">
        <v>35</v>
      </c>
      <c r="G3" t="s">
        <v>62</v>
      </c>
      <c r="H3">
        <v>8314</v>
      </c>
      <c r="I3" t="s">
        <v>63</v>
      </c>
    </row>
    <row r="4" spans="1:9" x14ac:dyDescent="0.45">
      <c r="A4" t="s">
        <v>28</v>
      </c>
      <c r="B4" t="s">
        <v>29</v>
      </c>
      <c r="D4" t="s">
        <v>32</v>
      </c>
      <c r="E4" t="s">
        <v>33</v>
      </c>
      <c r="F4" t="s">
        <v>38</v>
      </c>
      <c r="G4" t="s">
        <v>36</v>
      </c>
      <c r="H4" t="s">
        <v>34</v>
      </c>
    </row>
    <row r="5" spans="1:9" x14ac:dyDescent="0.45">
      <c r="A5" t="s">
        <v>30</v>
      </c>
      <c r="B5" t="s">
        <v>31</v>
      </c>
      <c r="D5" t="s">
        <v>32</v>
      </c>
      <c r="E5" t="s">
        <v>33</v>
      </c>
      <c r="F5" t="s">
        <v>37</v>
      </c>
      <c r="G5" t="s">
        <v>39</v>
      </c>
      <c r="H5" t="s">
        <v>34</v>
      </c>
    </row>
    <row r="6" spans="1:9" x14ac:dyDescent="0.45">
      <c r="B6" t="s">
        <v>55</v>
      </c>
    </row>
    <row r="7" spans="1:9" x14ac:dyDescent="0.45">
      <c r="G7" t="s">
        <v>41</v>
      </c>
    </row>
    <row r="8" spans="1:9" x14ac:dyDescent="0.45">
      <c r="G8" t="s">
        <v>42</v>
      </c>
    </row>
    <row r="9" spans="1:9" x14ac:dyDescent="0.45">
      <c r="G9" s="4" t="s">
        <v>43</v>
      </c>
    </row>
    <row r="10" spans="1:9" x14ac:dyDescent="0.45">
      <c r="G10" s="4" t="s">
        <v>44</v>
      </c>
      <c r="H10">
        <v>18</v>
      </c>
      <c r="I10" t="s">
        <v>45</v>
      </c>
    </row>
    <row r="11" spans="1:9" x14ac:dyDescent="0.45">
      <c r="G11" s="4" t="s">
        <v>46</v>
      </c>
      <c r="H11">
        <v>2</v>
      </c>
      <c r="I11" t="s">
        <v>45</v>
      </c>
    </row>
    <row r="12" spans="1:9" x14ac:dyDescent="0.45">
      <c r="G12" s="4" t="s">
        <v>47</v>
      </c>
      <c r="H12">
        <v>8</v>
      </c>
      <c r="I12" t="s">
        <v>45</v>
      </c>
    </row>
    <row r="13" spans="1:9" x14ac:dyDescent="0.45">
      <c r="G13" s="4" t="s">
        <v>48</v>
      </c>
      <c r="H13">
        <v>28</v>
      </c>
      <c r="I13" t="s">
        <v>45</v>
      </c>
    </row>
    <row r="14" spans="1:9" x14ac:dyDescent="0.45">
      <c r="G14" s="4" t="s">
        <v>49</v>
      </c>
      <c r="H14">
        <v>32</v>
      </c>
      <c r="I14" t="s">
        <v>45</v>
      </c>
    </row>
    <row r="15" spans="1:9" x14ac:dyDescent="0.45">
      <c r="G15" s="4" t="s">
        <v>50</v>
      </c>
      <c r="H15">
        <v>44</v>
      </c>
      <c r="I15" t="s">
        <v>45</v>
      </c>
    </row>
    <row r="16" spans="1:9" x14ac:dyDescent="0.45">
      <c r="G16" s="4" t="s">
        <v>51</v>
      </c>
      <c r="H16">
        <v>29</v>
      </c>
      <c r="I16" t="s">
        <v>45</v>
      </c>
    </row>
    <row r="18" spans="1:12" x14ac:dyDescent="0.45">
      <c r="G18" t="s">
        <v>52</v>
      </c>
      <c r="H18">
        <f>8314/H16</f>
        <v>286.68965517241378</v>
      </c>
      <c r="I18" t="s">
        <v>53</v>
      </c>
    </row>
    <row r="19" spans="1:12" x14ac:dyDescent="0.45">
      <c r="G19" t="s">
        <v>54</v>
      </c>
      <c r="H19">
        <f>8314/H10</f>
        <v>461.88888888888891</v>
      </c>
      <c r="I19" t="s">
        <v>53</v>
      </c>
    </row>
    <row r="21" spans="1:12" x14ac:dyDescent="0.45">
      <c r="A21" t="s">
        <v>56</v>
      </c>
      <c r="F21" t="s">
        <v>72</v>
      </c>
    </row>
    <row r="22" spans="1:12" x14ac:dyDescent="0.45">
      <c r="A22" t="s">
        <v>57</v>
      </c>
      <c r="C22">
        <v>200</v>
      </c>
      <c r="D22" t="s">
        <v>58</v>
      </c>
      <c r="F22" t="s">
        <v>73</v>
      </c>
      <c r="G22">
        <v>1005</v>
      </c>
      <c r="H22" t="s">
        <v>53</v>
      </c>
    </row>
    <row r="23" spans="1:12" x14ac:dyDescent="0.45">
      <c r="A23" t="s">
        <v>59</v>
      </c>
      <c r="C23">
        <v>100000</v>
      </c>
      <c r="D23" t="s">
        <v>60</v>
      </c>
    </row>
    <row r="24" spans="1:12" x14ac:dyDescent="0.45">
      <c r="A24" t="s">
        <v>61</v>
      </c>
      <c r="C24">
        <f>T</f>
        <v>293</v>
      </c>
      <c r="D24" t="s">
        <v>4</v>
      </c>
      <c r="F24" t="s">
        <v>10</v>
      </c>
      <c r="G24">
        <f>QQ</f>
        <v>1000000</v>
      </c>
      <c r="H24" t="s">
        <v>7</v>
      </c>
    </row>
    <row r="25" spans="1:12" x14ac:dyDescent="0.45">
      <c r="A25" t="s">
        <v>64</v>
      </c>
      <c r="C25">
        <f>p*V/(Raria*T)</f>
        <v>238.09504261490756</v>
      </c>
      <c r="D25" t="s">
        <v>65</v>
      </c>
      <c r="F25" t="s">
        <v>74</v>
      </c>
      <c r="H25">
        <f>T+QQ/(M*cparia)</f>
        <v>297.17910790873219</v>
      </c>
      <c r="I25" t="s">
        <v>4</v>
      </c>
      <c r="J25" t="s">
        <v>75</v>
      </c>
      <c r="K25">
        <f>H25-C24</f>
        <v>4.1791079087321918</v>
      </c>
      <c r="L25" t="s">
        <v>3</v>
      </c>
    </row>
    <row r="26" spans="1:12" x14ac:dyDescent="0.45">
      <c r="A26" t="s">
        <v>66</v>
      </c>
      <c r="C26">
        <f>p*V/(R0*T)</f>
        <v>8.2101738832726738</v>
      </c>
      <c r="D26" t="s">
        <v>67</v>
      </c>
      <c r="F26" t="s">
        <v>76</v>
      </c>
      <c r="H26">
        <f>M*Raria*H25/p</f>
        <v>202.85263338480016</v>
      </c>
      <c r="I26" t="s">
        <v>58</v>
      </c>
      <c r="J26" t="s">
        <v>77</v>
      </c>
      <c r="K26">
        <f>H26-V</f>
        <v>2.852633384800157</v>
      </c>
      <c r="L26" t="s">
        <v>58</v>
      </c>
    </row>
    <row r="27" spans="1:12" x14ac:dyDescent="0.45">
      <c r="A27" t="s">
        <v>68</v>
      </c>
      <c r="C27">
        <f>V/M</f>
        <v>0.84000068965517238</v>
      </c>
      <c r="D27" t="s">
        <v>69</v>
      </c>
      <c r="F27" t="s">
        <v>83</v>
      </c>
      <c r="H27">
        <f>p*DeltaV</f>
        <v>285263.33848001569</v>
      </c>
      <c r="I27" t="s">
        <v>7</v>
      </c>
    </row>
    <row r="28" spans="1:12" x14ac:dyDescent="0.45">
      <c r="A28" t="s">
        <v>70</v>
      </c>
      <c r="C28">
        <f>1/C27</f>
        <v>1.1904752130745377</v>
      </c>
      <c r="D28" t="s">
        <v>71</v>
      </c>
    </row>
    <row r="30" spans="1:12" x14ac:dyDescent="0.45">
      <c r="E30" t="s">
        <v>79</v>
      </c>
    </row>
    <row r="33" spans="5:10" x14ac:dyDescent="0.45">
      <c r="E33" t="s">
        <v>80</v>
      </c>
    </row>
    <row r="37" spans="5:10" x14ac:dyDescent="0.45">
      <c r="G37" t="s">
        <v>81</v>
      </c>
      <c r="H37" s="2" t="s">
        <v>82</v>
      </c>
      <c r="J37" t="s">
        <v>78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152B4-7ED3-4EDD-A579-A3FCD6B52CF5}">
  <dimension ref="A1:L28"/>
  <sheetViews>
    <sheetView tabSelected="1" topLeftCell="A12" zoomScale="140" zoomScaleNormal="140" workbookViewId="0">
      <selection activeCell="G27" sqref="G27:I27"/>
    </sheetView>
  </sheetViews>
  <sheetFormatPr defaultRowHeight="14.25" x14ac:dyDescent="0.45"/>
  <sheetData>
    <row r="1" spans="1:12" x14ac:dyDescent="0.45">
      <c r="A1" t="s">
        <v>84</v>
      </c>
    </row>
    <row r="3" spans="1:12" x14ac:dyDescent="0.45">
      <c r="G3" t="s">
        <v>91</v>
      </c>
      <c r="K3" t="s">
        <v>93</v>
      </c>
    </row>
    <row r="4" spans="1:12" x14ac:dyDescent="0.45">
      <c r="G4" t="s">
        <v>94</v>
      </c>
    </row>
    <row r="5" spans="1:12" x14ac:dyDescent="0.45">
      <c r="G5" t="s">
        <v>92</v>
      </c>
      <c r="K5" t="s">
        <v>10</v>
      </c>
      <c r="L5">
        <v>0</v>
      </c>
    </row>
    <row r="7" spans="1:12" x14ac:dyDescent="0.45">
      <c r="G7" t="s">
        <v>95</v>
      </c>
    </row>
    <row r="8" spans="1:12" x14ac:dyDescent="0.45">
      <c r="G8" t="s">
        <v>98</v>
      </c>
    </row>
    <row r="9" spans="1:12" x14ac:dyDescent="0.45">
      <c r="G9" t="s">
        <v>96</v>
      </c>
      <c r="I9">
        <f>E19*100000*(B20-B19)/1000</f>
        <v>22400</v>
      </c>
      <c r="J9" t="s">
        <v>7</v>
      </c>
    </row>
    <row r="10" spans="1:12" x14ac:dyDescent="0.45">
      <c r="G10" t="s">
        <v>97</v>
      </c>
      <c r="I10">
        <f>E20*100000*(B20-B19)/1000</f>
        <v>700</v>
      </c>
      <c r="J10" t="s">
        <v>7</v>
      </c>
    </row>
    <row r="11" spans="1:12" x14ac:dyDescent="0.45">
      <c r="G11" t="s">
        <v>99</v>
      </c>
      <c r="I11">
        <f>Ltot-Lamb</f>
        <v>21700</v>
      </c>
      <c r="J11" t="s">
        <v>7</v>
      </c>
    </row>
    <row r="12" spans="1:12" x14ac:dyDescent="0.45">
      <c r="G12" t="s">
        <v>109</v>
      </c>
      <c r="I12">
        <f>MM*cparia*(C22-B18)</f>
        <v>78523.935530430608</v>
      </c>
      <c r="J12" t="s">
        <v>7</v>
      </c>
    </row>
    <row r="13" spans="1:12" x14ac:dyDescent="0.45">
      <c r="G13" t="s">
        <v>110</v>
      </c>
      <c r="I13">
        <f>MM*cvaria*(E18-C22)</f>
        <v>-52162.328602357476</v>
      </c>
      <c r="J13" t="s">
        <v>7</v>
      </c>
    </row>
    <row r="14" spans="1:12" x14ac:dyDescent="0.45">
      <c r="G14" t="s">
        <v>111</v>
      </c>
      <c r="I14">
        <f>3/5*cparia</f>
        <v>603</v>
      </c>
      <c r="J14" t="s">
        <v>53</v>
      </c>
    </row>
    <row r="15" spans="1:12" x14ac:dyDescent="0.45">
      <c r="G15" t="s">
        <v>112</v>
      </c>
      <c r="I15">
        <f>Q_a1+Q_a2-Ltot</f>
        <v>3961.6069280731317</v>
      </c>
      <c r="J15" t="s">
        <v>7</v>
      </c>
    </row>
    <row r="18" spans="1:11" x14ac:dyDescent="0.45">
      <c r="A18" t="s">
        <v>105</v>
      </c>
      <c r="B18">
        <v>400</v>
      </c>
      <c r="C18" t="s">
        <v>4</v>
      </c>
      <c r="D18" t="s">
        <v>106</v>
      </c>
      <c r="E18">
        <v>100</v>
      </c>
      <c r="F18" t="s">
        <v>4</v>
      </c>
    </row>
    <row r="19" spans="1:11" x14ac:dyDescent="0.45">
      <c r="A19" t="s">
        <v>85</v>
      </c>
      <c r="B19">
        <v>1</v>
      </c>
      <c r="C19" t="s">
        <v>86</v>
      </c>
      <c r="D19" t="s">
        <v>88</v>
      </c>
      <c r="E19">
        <v>32</v>
      </c>
      <c r="F19" t="s">
        <v>89</v>
      </c>
      <c r="G19" t="s">
        <v>100</v>
      </c>
    </row>
    <row r="20" spans="1:11" x14ac:dyDescent="0.45">
      <c r="A20" t="s">
        <v>87</v>
      </c>
      <c r="B20">
        <v>8</v>
      </c>
      <c r="C20" t="s">
        <v>86</v>
      </c>
      <c r="D20" t="s">
        <v>90</v>
      </c>
      <c r="E20">
        <v>1</v>
      </c>
      <c r="F20" t="s">
        <v>89</v>
      </c>
      <c r="G20" t="s">
        <v>101</v>
      </c>
      <c r="J20">
        <f>(B20-B19)/1000*(E19-E20)*100000/2</f>
        <v>10850</v>
      </c>
      <c r="K20" t="s">
        <v>7</v>
      </c>
    </row>
    <row r="21" spans="1:11" x14ac:dyDescent="0.45">
      <c r="A21" t="s">
        <v>104</v>
      </c>
      <c r="C21">
        <f>E19*100000*B19/1000/(Raria*B18)</f>
        <v>2.7904738994467167E-2</v>
      </c>
      <c r="D21" t="s">
        <v>65</v>
      </c>
      <c r="G21" t="s">
        <v>102</v>
      </c>
      <c r="J21">
        <f>J20+Lamb</f>
        <v>11550</v>
      </c>
      <c r="K21" t="s">
        <v>7</v>
      </c>
    </row>
    <row r="22" spans="1:11" x14ac:dyDescent="0.45">
      <c r="A22" t="s">
        <v>107</v>
      </c>
      <c r="C22">
        <f>E19*100000*B20/1000/(MM*Raria)</f>
        <v>3200</v>
      </c>
      <c r="D22" t="s">
        <v>4</v>
      </c>
    </row>
    <row r="23" spans="1:11" x14ac:dyDescent="0.45">
      <c r="G23" t="s">
        <v>103</v>
      </c>
    </row>
    <row r="24" spans="1:11" x14ac:dyDescent="0.45">
      <c r="A24" t="s">
        <v>114</v>
      </c>
      <c r="G24" t="s">
        <v>108</v>
      </c>
    </row>
    <row r="25" spans="1:11" x14ac:dyDescent="0.45">
      <c r="G25" t="s">
        <v>113</v>
      </c>
      <c r="J25">
        <f>-I15</f>
        <v>-3961.6069280731317</v>
      </c>
      <c r="K25" t="s">
        <v>7</v>
      </c>
    </row>
    <row r="26" spans="1:11" x14ac:dyDescent="0.45">
      <c r="A26" t="s">
        <v>115</v>
      </c>
    </row>
    <row r="27" spans="1:11" x14ac:dyDescent="0.45">
      <c r="A27" t="s">
        <v>116</v>
      </c>
      <c r="G27" s="7" t="s">
        <v>118</v>
      </c>
      <c r="H27" s="7">
        <f>(E19*100000*B19/1000-E20*100000*B20/1000)/(5/3-1)</f>
        <v>3599.9999999999995</v>
      </c>
      <c r="I27" s="7" t="s">
        <v>7</v>
      </c>
    </row>
    <row r="28" spans="1:11" x14ac:dyDescent="0.45">
      <c r="A28" s="5" t="s">
        <v>117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Entropia</vt:lpstr>
      <vt:lpstr>Gas perfetti</vt:lpstr>
      <vt:lpstr>Lavoro Espansione</vt:lpstr>
      <vt:lpstr>cparia</vt:lpstr>
      <vt:lpstr>cvaria</vt:lpstr>
      <vt:lpstr>DeltaV</vt:lpstr>
      <vt:lpstr>Lamb</vt:lpstr>
      <vt:lpstr>LL</vt:lpstr>
      <vt:lpstr>Ltot</vt:lpstr>
      <vt:lpstr>M</vt:lpstr>
      <vt:lpstr>MM</vt:lpstr>
      <vt:lpstr>p</vt:lpstr>
      <vt:lpstr>Q</vt:lpstr>
      <vt:lpstr>Q_1</vt:lpstr>
      <vt:lpstr>Q_2</vt:lpstr>
      <vt:lpstr>Q_a1</vt:lpstr>
      <vt:lpstr>Q_a2</vt:lpstr>
      <vt:lpstr>QQ</vt:lpstr>
      <vt:lpstr>QQQ</vt:lpstr>
      <vt:lpstr>R0</vt:lpstr>
      <vt:lpstr>Raria</vt:lpstr>
      <vt:lpstr>T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2022-10-05T08:59:05Z</dcterms:created>
  <dcterms:modified xsi:type="dcterms:W3CDTF">2022-10-05T11:34:14Z</dcterms:modified>
</cp:coreProperties>
</file>